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drawings/drawing4.xml" ContentType="application/vnd.openxmlformats-officedocument.drawing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aton\Desktop\webpostings\OWQAC\03-23-2016\"/>
    </mc:Choice>
  </mc:AlternateContent>
  <bookViews>
    <workbookView xWindow="-156" yWindow="180" windowWidth="15516" windowHeight="7632" tabRatio="870"/>
  </bookViews>
  <sheets>
    <sheet name="Program Summary" sheetId="55" r:id="rId1"/>
    <sheet name="BANS Template" sheetId="68" state="veryHidden" r:id="rId2"/>
    <sheet name="Conventional Loan Template" sheetId="69" state="veryHidden" r:id="rId3"/>
    <sheet name="SRF Loan Template" sheetId="70" state="veryHidden" r:id="rId4"/>
    <sheet name="USDA Loan Template" sheetId="71" state="veryHidden" r:id="rId5"/>
    <sheet name="Betterment Template" sheetId="72" state="veryHidden" r:id="rId6"/>
    <sheet name="Septic Impact Fee Template" sheetId="73" state="veryHidden" r:id="rId7"/>
    <sheet name="Output Cases Template" sheetId="74" state="veryHidden" r:id="rId8"/>
    <sheet name="Output Cases Template DT Public" sheetId="2447" state="veryHidden" r:id="rId9"/>
    <sheet name="Output Cases Template DT Privat" sheetId="2826" state="veryHidden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engy_esc" localSheetId="5">#REF!</definedName>
    <definedName name="InflationRate">[1]Phasing!$E$245</definedName>
    <definedName name="InterestRate">[1]Phasing!$G$245</definedName>
    <definedName name="maint_esc" localSheetId="5">#REF!</definedName>
    <definedName name="op_esc" localSheetId="5">#REF!</definedName>
    <definedName name="_xlnm.Print_Area" localSheetId="7">'Output Cases Template'!$A$1:$H$66</definedName>
    <definedName name="_xlnm.Print_Area" localSheetId="9">'Output Cases Template DT Privat'!$A$1:$I$66</definedName>
    <definedName name="_xlnm.Print_Area" localSheetId="8">'Output Cases Template DT Public'!$A$1:$I$68</definedName>
    <definedName name="_xlnm.Print_Area" localSheetId="0">'Program Summary'!$B$5:$G$7</definedName>
    <definedName name="_xlnm.Print_Area">#REF!</definedName>
    <definedName name="_xlnm.Print_Titles" localSheetId="3">'SRF Loan Template'!$1:$9</definedName>
    <definedName name="_xlnm.Print_Titles" localSheetId="4">'USDA Loan Template'!$1:$6</definedName>
    <definedName name="USERS" localSheetId="7">#REF!</definedName>
    <definedName name="USERS" localSheetId="9">#REF!</definedName>
    <definedName name="USERS" localSheetId="8">#REF!</definedName>
  </definedNames>
  <calcPr calcId="152511"/>
</workbook>
</file>

<file path=xl/calcChain.xml><?xml version="1.0" encoding="utf-8"?>
<calcChain xmlns="http://schemas.openxmlformats.org/spreadsheetml/2006/main">
  <c r="F85" i="2447" l="1"/>
  <c r="D85" i="2447"/>
  <c r="C85" i="2447"/>
  <c r="B85" i="2447"/>
  <c r="G8" i="2447" l="1"/>
  <c r="H8" i="2447"/>
  <c r="I8" i="2447"/>
  <c r="F8" i="2447"/>
  <c r="E8" i="2447"/>
  <c r="D8" i="2447" l="1"/>
  <c r="C8" i="2447"/>
  <c r="F8" i="2826" l="1"/>
  <c r="E8" i="2826"/>
  <c r="D8" i="2826"/>
  <c r="F204" i="2447" l="1"/>
  <c r="B204" i="2447"/>
  <c r="G202" i="2826"/>
  <c r="F202" i="2826"/>
  <c r="E202" i="2826"/>
  <c r="D202" i="2826"/>
  <c r="C202" i="2826"/>
  <c r="B202" i="2826"/>
  <c r="F156" i="2447"/>
  <c r="B156" i="2447"/>
  <c r="G154" i="2826"/>
  <c r="F154" i="2826"/>
  <c r="E154" i="2826"/>
  <c r="D154" i="2826"/>
  <c r="C154" i="2826"/>
  <c r="B154" i="2826"/>
  <c r="B139" i="2826" l="1"/>
  <c r="I13" i="2826" s="1"/>
  <c r="I202" i="2826" s="1"/>
  <c r="B132" i="2826"/>
  <c r="I117" i="2826"/>
  <c r="H117" i="2826"/>
  <c r="G117" i="2826"/>
  <c r="F117" i="2826"/>
  <c r="E117" i="2826"/>
  <c r="D117" i="2826"/>
  <c r="C117" i="2826"/>
  <c r="B117" i="2826"/>
  <c r="G110" i="2826"/>
  <c r="F110" i="2826"/>
  <c r="E110" i="2826"/>
  <c r="D110" i="2826"/>
  <c r="C110" i="2826"/>
  <c r="B110" i="2826"/>
  <c r="G101" i="2826"/>
  <c r="F101" i="2826"/>
  <c r="E101" i="2826"/>
  <c r="D101" i="2826"/>
  <c r="C101" i="2826"/>
  <c r="B101" i="2826"/>
  <c r="G92" i="2826"/>
  <c r="F92" i="2826"/>
  <c r="E92" i="2826"/>
  <c r="D92" i="2826"/>
  <c r="C92" i="2826"/>
  <c r="B92" i="2826"/>
  <c r="G83" i="2826"/>
  <c r="F83" i="2826"/>
  <c r="E83" i="2826"/>
  <c r="D83" i="2826"/>
  <c r="C83" i="2826"/>
  <c r="B83" i="2826"/>
  <c r="I63" i="2826"/>
  <c r="H63" i="2826"/>
  <c r="G63" i="2826"/>
  <c r="F63" i="2826"/>
  <c r="E63" i="2826"/>
  <c r="D63" i="2826"/>
  <c r="C63" i="2826"/>
  <c r="B63" i="2826"/>
  <c r="I51" i="2826"/>
  <c r="H51" i="2826"/>
  <c r="G51" i="2826"/>
  <c r="F51" i="2826"/>
  <c r="E51" i="2826"/>
  <c r="D51" i="2826"/>
  <c r="C51" i="2826"/>
  <c r="B51" i="2826"/>
  <c r="I44" i="2826"/>
  <c r="I163" i="2826" s="1"/>
  <c r="H44" i="2826"/>
  <c r="H163" i="2826" s="1"/>
  <c r="G44" i="2826"/>
  <c r="G163" i="2826" s="1"/>
  <c r="F44" i="2826"/>
  <c r="F163" i="2826" s="1"/>
  <c r="E44" i="2826"/>
  <c r="E163" i="2826" s="1"/>
  <c r="D44" i="2826"/>
  <c r="D163" i="2826" s="1"/>
  <c r="C44" i="2826"/>
  <c r="C163" i="2826" s="1"/>
  <c r="B44" i="2826"/>
  <c r="I43" i="2826"/>
  <c r="I162" i="2826" s="1"/>
  <c r="H43" i="2826"/>
  <c r="H162" i="2826" s="1"/>
  <c r="G43" i="2826"/>
  <c r="G162" i="2826" s="1"/>
  <c r="F43" i="2826"/>
  <c r="F162" i="2826" s="1"/>
  <c r="E43" i="2826"/>
  <c r="E162" i="2826" s="1"/>
  <c r="D43" i="2826"/>
  <c r="D162" i="2826" s="1"/>
  <c r="C43" i="2826"/>
  <c r="C162" i="2826" s="1"/>
  <c r="B43" i="2826"/>
  <c r="I8" i="2826"/>
  <c r="H8" i="2826"/>
  <c r="G8" i="2826"/>
  <c r="C119" i="2447"/>
  <c r="C63" i="2447"/>
  <c r="C44" i="2447"/>
  <c r="C43" i="2447"/>
  <c r="C40" i="2447"/>
  <c r="C34" i="2447"/>
  <c r="C33" i="2447"/>
  <c r="C32" i="2447"/>
  <c r="C28" i="2447"/>
  <c r="C27" i="2447"/>
  <c r="C26" i="2447"/>
  <c r="C22" i="2447"/>
  <c r="C21" i="2447"/>
  <c r="C20" i="2447"/>
  <c r="C15" i="2447"/>
  <c r="C17" i="2447" s="1"/>
  <c r="B141" i="2447"/>
  <c r="B134" i="2447"/>
  <c r="I119" i="2447"/>
  <c r="H119" i="2447"/>
  <c r="G119" i="2447"/>
  <c r="F119" i="2447"/>
  <c r="E119" i="2447"/>
  <c r="D119" i="2447"/>
  <c r="B119" i="2447"/>
  <c r="F112" i="2447"/>
  <c r="B112" i="2447"/>
  <c r="F103" i="2447"/>
  <c r="B103" i="2447"/>
  <c r="F94" i="2447"/>
  <c r="B94" i="2447"/>
  <c r="I63" i="2447"/>
  <c r="H63" i="2447"/>
  <c r="G63" i="2447"/>
  <c r="F63" i="2447"/>
  <c r="E63" i="2447"/>
  <c r="D63" i="2447"/>
  <c r="B63" i="2447"/>
  <c r="I56" i="2447"/>
  <c r="H56" i="2447"/>
  <c r="G56" i="2447"/>
  <c r="F56" i="2447"/>
  <c r="I55" i="2447"/>
  <c r="H55" i="2447"/>
  <c r="G55" i="2447"/>
  <c r="F55" i="2447"/>
  <c r="F51" i="2447"/>
  <c r="B51" i="2447"/>
  <c r="F50" i="2447"/>
  <c r="B50" i="2447"/>
  <c r="F49" i="2447"/>
  <c r="B49" i="2447"/>
  <c r="F48" i="2447"/>
  <c r="B48" i="2447"/>
  <c r="B152" i="2447" s="1"/>
  <c r="B155" i="2447" s="1"/>
  <c r="B157" i="2447" s="1"/>
  <c r="I44" i="2447"/>
  <c r="H44" i="2447"/>
  <c r="G44" i="2447"/>
  <c r="F44" i="2447"/>
  <c r="E44" i="2447"/>
  <c r="D44" i="2447"/>
  <c r="B44" i="2447"/>
  <c r="B165" i="2447" s="1"/>
  <c r="I43" i="2447"/>
  <c r="I164" i="2447" s="1"/>
  <c r="H43" i="2447"/>
  <c r="H164" i="2447" s="1"/>
  <c r="G43" i="2447"/>
  <c r="G164" i="2447" s="1"/>
  <c r="F43" i="2447"/>
  <c r="E43" i="2447"/>
  <c r="E164" i="2447" s="1"/>
  <c r="D43" i="2447"/>
  <c r="B43" i="2447"/>
  <c r="I40" i="2447"/>
  <c r="H40" i="2447"/>
  <c r="G40" i="2447"/>
  <c r="F40" i="2447"/>
  <c r="E40" i="2447"/>
  <c r="D40" i="2447"/>
  <c r="B40" i="2447"/>
  <c r="I34" i="2447"/>
  <c r="H34" i="2447"/>
  <c r="G34" i="2447"/>
  <c r="F34" i="2447"/>
  <c r="E34" i="2447"/>
  <c r="D34" i="2447"/>
  <c r="B34" i="2447"/>
  <c r="I33" i="2447"/>
  <c r="H33" i="2447"/>
  <c r="G33" i="2447"/>
  <c r="F33" i="2447"/>
  <c r="E33" i="2447"/>
  <c r="D33" i="2447"/>
  <c r="B33" i="2447"/>
  <c r="I32" i="2447"/>
  <c r="H32" i="2447"/>
  <c r="G32" i="2447"/>
  <c r="F32" i="2447"/>
  <c r="E32" i="2447"/>
  <c r="D32" i="2447"/>
  <c r="B32" i="2447"/>
  <c r="I28" i="2447"/>
  <c r="H28" i="2447"/>
  <c r="G28" i="2447"/>
  <c r="F28" i="2447"/>
  <c r="E28" i="2447"/>
  <c r="D28" i="2447"/>
  <c r="B28" i="2447"/>
  <c r="I27" i="2447"/>
  <c r="H27" i="2447"/>
  <c r="G27" i="2447"/>
  <c r="F27" i="2447"/>
  <c r="E27" i="2447"/>
  <c r="D27" i="2447"/>
  <c r="B27" i="2447"/>
  <c r="I26" i="2447"/>
  <c r="H26" i="2447"/>
  <c r="G26" i="2447"/>
  <c r="F26" i="2447"/>
  <c r="E26" i="2447"/>
  <c r="D26" i="2447"/>
  <c r="B26" i="2447"/>
  <c r="I22" i="2447"/>
  <c r="H22" i="2447"/>
  <c r="G22" i="2447"/>
  <c r="F22" i="2447"/>
  <c r="E22" i="2447"/>
  <c r="D22" i="2447"/>
  <c r="B22" i="2447"/>
  <c r="I21" i="2447"/>
  <c r="H21" i="2447"/>
  <c r="G21" i="2447"/>
  <c r="F21" i="2447"/>
  <c r="E21" i="2447"/>
  <c r="D21" i="2447"/>
  <c r="B21" i="2447"/>
  <c r="I20" i="2447"/>
  <c r="H20" i="2447"/>
  <c r="G20" i="2447"/>
  <c r="F20" i="2447"/>
  <c r="E20" i="2447"/>
  <c r="D20" i="2447"/>
  <c r="B20" i="2447"/>
  <c r="I15" i="2447"/>
  <c r="I17" i="2447" s="1"/>
  <c r="H15" i="2447"/>
  <c r="H17" i="2447" s="1"/>
  <c r="G15" i="2447"/>
  <c r="G17" i="2447" s="1"/>
  <c r="F15" i="2447"/>
  <c r="F17" i="2447" s="1"/>
  <c r="E15" i="2447"/>
  <c r="E17" i="2447" s="1"/>
  <c r="D15" i="2447"/>
  <c r="D17" i="2447" s="1"/>
  <c r="B15" i="2447"/>
  <c r="B17" i="2447" s="1"/>
  <c r="D54" i="2447" l="1"/>
  <c r="I13" i="2447"/>
  <c r="I156" i="2447" s="1"/>
  <c r="G13" i="2447"/>
  <c r="G85" i="2447" s="1"/>
  <c r="E13" i="2447"/>
  <c r="E85" i="2447" s="1"/>
  <c r="C186" i="2447"/>
  <c r="F186" i="2447"/>
  <c r="B191" i="2447"/>
  <c r="D186" i="2447"/>
  <c r="H186" i="2447"/>
  <c r="E191" i="2447"/>
  <c r="I191" i="2447"/>
  <c r="F196" i="2447"/>
  <c r="G191" i="2447"/>
  <c r="D196" i="2447"/>
  <c r="C196" i="2447"/>
  <c r="H196" i="2447"/>
  <c r="E186" i="2447"/>
  <c r="I186" i="2447"/>
  <c r="F191" i="2447"/>
  <c r="B196" i="2447"/>
  <c r="G196" i="2447"/>
  <c r="B38" i="2447"/>
  <c r="B164" i="2447"/>
  <c r="D100" i="2447"/>
  <c r="D165" i="2447"/>
  <c r="H100" i="2447"/>
  <c r="H165" i="2447"/>
  <c r="H102" i="2447"/>
  <c r="H175" i="2447"/>
  <c r="H176" i="2447" s="1"/>
  <c r="H111" i="2447"/>
  <c r="C133" i="2447"/>
  <c r="I216" i="2447"/>
  <c r="E216" i="2447"/>
  <c r="F216" i="2447"/>
  <c r="H216" i="2447"/>
  <c r="C216" i="2447"/>
  <c r="D216" i="2447"/>
  <c r="B216" i="2447"/>
  <c r="G216" i="2447"/>
  <c r="C191" i="2447"/>
  <c r="C108" i="2447"/>
  <c r="C114" i="2447" s="1"/>
  <c r="B89" i="2826"/>
  <c r="B162" i="2826"/>
  <c r="B98" i="2826"/>
  <c r="B163" i="2826"/>
  <c r="C131" i="2826"/>
  <c r="I214" i="2826"/>
  <c r="E214" i="2826"/>
  <c r="G214" i="2826"/>
  <c r="B214" i="2826"/>
  <c r="D214" i="2826"/>
  <c r="H214" i="2826"/>
  <c r="F214" i="2826"/>
  <c r="C214" i="2826"/>
  <c r="E108" i="2447"/>
  <c r="E114" i="2447" s="1"/>
  <c r="F38" i="2447"/>
  <c r="F164" i="2447"/>
  <c r="G39" i="2447"/>
  <c r="G169" i="2447" s="1"/>
  <c r="G170" i="2447" s="1"/>
  <c r="G165" i="2447"/>
  <c r="B101" i="2447"/>
  <c r="B153" i="2447"/>
  <c r="B154" i="2447" s="1"/>
  <c r="F110" i="2447"/>
  <c r="G102" i="2447"/>
  <c r="G175" i="2447"/>
  <c r="G176" i="2447" s="1"/>
  <c r="G111" i="2447"/>
  <c r="B108" i="2447"/>
  <c r="B114" i="2447" s="1"/>
  <c r="G108" i="2447"/>
  <c r="G114" i="2447" s="1"/>
  <c r="D38" i="2447"/>
  <c r="D168" i="2447" s="1"/>
  <c r="D164" i="2447"/>
  <c r="E100" i="2447"/>
  <c r="E165" i="2447"/>
  <c r="I100" i="2447"/>
  <c r="I165" i="2447"/>
  <c r="F92" i="2447"/>
  <c r="F152" i="2447"/>
  <c r="F155" i="2447" s="1"/>
  <c r="F157" i="2447" s="1"/>
  <c r="I102" i="2447"/>
  <c r="I175" i="2447"/>
  <c r="I176" i="2447" s="1"/>
  <c r="I111" i="2447"/>
  <c r="C91" i="2447"/>
  <c r="C164" i="2447"/>
  <c r="I92" i="2826"/>
  <c r="I154" i="2826"/>
  <c r="B186" i="2447"/>
  <c r="G186" i="2447"/>
  <c r="D191" i="2447"/>
  <c r="H191" i="2447"/>
  <c r="E196" i="2447"/>
  <c r="I196" i="2447"/>
  <c r="D108" i="2447"/>
  <c r="D114" i="2447" s="1"/>
  <c r="H108" i="2447"/>
  <c r="H114" i="2447" s="1"/>
  <c r="F39" i="2447"/>
  <c r="F169" i="2447" s="1"/>
  <c r="F170" i="2447" s="1"/>
  <c r="F165" i="2447"/>
  <c r="F101" i="2447"/>
  <c r="F153" i="2447"/>
  <c r="F154" i="2447" s="1"/>
  <c r="F102" i="2447"/>
  <c r="F175" i="2447"/>
  <c r="F176" i="2447" s="1"/>
  <c r="F111" i="2447"/>
  <c r="C100" i="2447"/>
  <c r="C165" i="2447"/>
  <c r="F80" i="2826"/>
  <c r="F98" i="2826"/>
  <c r="C80" i="2826"/>
  <c r="G80" i="2826"/>
  <c r="D80" i="2826"/>
  <c r="H80" i="2826"/>
  <c r="E80" i="2826"/>
  <c r="I80" i="2826"/>
  <c r="E98" i="2826"/>
  <c r="I98" i="2826"/>
  <c r="H39" i="2447"/>
  <c r="H169" i="2447" s="1"/>
  <c r="H170" i="2447" s="1"/>
  <c r="H13" i="2826"/>
  <c r="H202" i="2826" s="1"/>
  <c r="C128" i="2826"/>
  <c r="E89" i="2826"/>
  <c r="B80" i="2826"/>
  <c r="F89" i="2826"/>
  <c r="H89" i="2826"/>
  <c r="I110" i="2826"/>
  <c r="I83" i="2826"/>
  <c r="I89" i="2826"/>
  <c r="D89" i="2826"/>
  <c r="D98" i="2826"/>
  <c r="H98" i="2826"/>
  <c r="I101" i="2826"/>
  <c r="C130" i="2826"/>
  <c r="C129" i="2826"/>
  <c r="C89" i="2826"/>
  <c r="G89" i="2826"/>
  <c r="C98" i="2826"/>
  <c r="G98" i="2826"/>
  <c r="C130" i="2447"/>
  <c r="D39" i="2447"/>
  <c r="D169" i="2447" s="1"/>
  <c r="D170" i="2447" s="1"/>
  <c r="B54" i="2447"/>
  <c r="C23" i="2447"/>
  <c r="C39" i="2447"/>
  <c r="C169" i="2447" s="1"/>
  <c r="C170" i="2447" s="1"/>
  <c r="C54" i="2447"/>
  <c r="C55" i="2447"/>
  <c r="G82" i="2447"/>
  <c r="I29" i="2447"/>
  <c r="G38" i="2447"/>
  <c r="G168" i="2447" s="1"/>
  <c r="H82" i="2447"/>
  <c r="B82" i="2447"/>
  <c r="B39" i="2447"/>
  <c r="B169" i="2447" s="1"/>
  <c r="B170" i="2447" s="1"/>
  <c r="E56" i="2447"/>
  <c r="B91" i="2447"/>
  <c r="H54" i="2447"/>
  <c r="D82" i="2447"/>
  <c r="E29" i="2447"/>
  <c r="E39" i="2447"/>
  <c r="E169" i="2447" s="1"/>
  <c r="E170" i="2447" s="1"/>
  <c r="I82" i="2447"/>
  <c r="E82" i="2447"/>
  <c r="D91" i="2447"/>
  <c r="H13" i="2447"/>
  <c r="H204" i="2447" s="1"/>
  <c r="D35" i="2447"/>
  <c r="D159" i="2447" s="1"/>
  <c r="H35" i="2447"/>
  <c r="H159" i="2447" s="1"/>
  <c r="E35" i="2447"/>
  <c r="E159" i="2447" s="1"/>
  <c r="H38" i="2447"/>
  <c r="H168" i="2447" s="1"/>
  <c r="E55" i="2447"/>
  <c r="G91" i="2447"/>
  <c r="C35" i="2447"/>
  <c r="C159" i="2447" s="1"/>
  <c r="D55" i="2447"/>
  <c r="F100" i="2447"/>
  <c r="F29" i="2447"/>
  <c r="F35" i="2447"/>
  <c r="F159" i="2447" s="1"/>
  <c r="I39" i="2447"/>
  <c r="I169" i="2447" s="1"/>
  <c r="I170" i="2447" s="1"/>
  <c r="G54" i="2447"/>
  <c r="H74" i="2447"/>
  <c r="H91" i="2447"/>
  <c r="C29" i="2447"/>
  <c r="C82" i="2447"/>
  <c r="E23" i="2447"/>
  <c r="D29" i="2447"/>
  <c r="F83" i="2447"/>
  <c r="F23" i="2447"/>
  <c r="C56" i="2447"/>
  <c r="I23" i="2447"/>
  <c r="H29" i="2447"/>
  <c r="B23" i="2447"/>
  <c r="G23" i="2447"/>
  <c r="B35" i="2447"/>
  <c r="B159" i="2447" s="1"/>
  <c r="B160" i="2447" s="1"/>
  <c r="G35" i="2447"/>
  <c r="G159" i="2447" s="1"/>
  <c r="I35" i="2447"/>
  <c r="I159" i="2447" s="1"/>
  <c r="F74" i="2447"/>
  <c r="G74" i="2447"/>
  <c r="C38" i="2447"/>
  <c r="I74" i="2447"/>
  <c r="F91" i="2447"/>
  <c r="F54" i="2447"/>
  <c r="F82" i="2447"/>
  <c r="B100" i="2447"/>
  <c r="D23" i="2447"/>
  <c r="H23" i="2447"/>
  <c r="G100" i="2447"/>
  <c r="C132" i="2447"/>
  <c r="C131" i="2447"/>
  <c r="B29" i="2447"/>
  <c r="G29" i="2447"/>
  <c r="E38" i="2447"/>
  <c r="E91" i="2447"/>
  <c r="E54" i="2447"/>
  <c r="E174" i="2447" s="1"/>
  <c r="E177" i="2447" s="1"/>
  <c r="I38" i="2447"/>
  <c r="I91" i="2447"/>
  <c r="I54" i="2447"/>
  <c r="I174" i="2447" s="1"/>
  <c r="I177" i="2447" s="1"/>
  <c r="B92" i="2447"/>
  <c r="B75" i="2447"/>
  <c r="B83" i="2447"/>
  <c r="F61" i="2447"/>
  <c r="I108" i="2447"/>
  <c r="I114" i="2447" s="1"/>
  <c r="B56" i="2447"/>
  <c r="F75" i="2447"/>
  <c r="F108" i="2447"/>
  <c r="F114" i="2447" s="1"/>
  <c r="B110" i="2447"/>
  <c r="B55" i="2447"/>
  <c r="B175" i="2447" s="1"/>
  <c r="B176" i="2447" s="1"/>
  <c r="D56" i="2447"/>
  <c r="D156" i="2447" l="1"/>
  <c r="D204" i="2447"/>
  <c r="D94" i="2447"/>
  <c r="D50" i="2447"/>
  <c r="D110" i="2447" s="1"/>
  <c r="D103" i="2447"/>
  <c r="D51" i="2447"/>
  <c r="D49" i="2447"/>
  <c r="D60" i="2447" s="1"/>
  <c r="D70" i="2447" s="1"/>
  <c r="D112" i="2447"/>
  <c r="D48" i="2447"/>
  <c r="D59" i="2447" s="1"/>
  <c r="C204" i="2447"/>
  <c r="C156" i="2447"/>
  <c r="C94" i="2447"/>
  <c r="C50" i="2447"/>
  <c r="C110" i="2447" s="1"/>
  <c r="C49" i="2447"/>
  <c r="C60" i="2447" s="1"/>
  <c r="C70" i="2447" s="1"/>
  <c r="C103" i="2447"/>
  <c r="C112" i="2447"/>
  <c r="C48" i="2447"/>
  <c r="C51" i="2447"/>
  <c r="I51" i="2447"/>
  <c r="I94" i="2447"/>
  <c r="I103" i="2447"/>
  <c r="I49" i="2447"/>
  <c r="I153" i="2447" s="1"/>
  <c r="I154" i="2447" s="1"/>
  <c r="I48" i="2447"/>
  <c r="I152" i="2447" s="1"/>
  <c r="I155" i="2447" s="1"/>
  <c r="I157" i="2447" s="1"/>
  <c r="I160" i="2447" s="1"/>
  <c r="I112" i="2447"/>
  <c r="I85" i="2447"/>
  <c r="I50" i="2447"/>
  <c r="I110" i="2447" s="1"/>
  <c r="I204" i="2447"/>
  <c r="E204" i="2447"/>
  <c r="E156" i="2447"/>
  <c r="E112" i="2447"/>
  <c r="E50" i="2447"/>
  <c r="E110" i="2447" s="1"/>
  <c r="E48" i="2447"/>
  <c r="E59" i="2447" s="1"/>
  <c r="E103" i="2447"/>
  <c r="E49" i="2447"/>
  <c r="E94" i="2447"/>
  <c r="E51" i="2447"/>
  <c r="G204" i="2447"/>
  <c r="G156" i="2447"/>
  <c r="G94" i="2447"/>
  <c r="G48" i="2447"/>
  <c r="G59" i="2447" s="1"/>
  <c r="G112" i="2447"/>
  <c r="G50" i="2447"/>
  <c r="G51" i="2447"/>
  <c r="G103" i="2447"/>
  <c r="G49" i="2447"/>
  <c r="G60" i="2447" s="1"/>
  <c r="I195" i="2447"/>
  <c r="I197" i="2447" s="1"/>
  <c r="F195" i="2447"/>
  <c r="F197" i="2447" s="1"/>
  <c r="I168" i="2447"/>
  <c r="I171" i="2447" s="1"/>
  <c r="I180" i="2447" s="1"/>
  <c r="B168" i="2447"/>
  <c r="B171" i="2447" s="1"/>
  <c r="C168" i="2447"/>
  <c r="C171" i="2447" s="1"/>
  <c r="E168" i="2447"/>
  <c r="E171" i="2447" s="1"/>
  <c r="E180" i="2447" s="1"/>
  <c r="F168" i="2447"/>
  <c r="F171" i="2447" s="1"/>
  <c r="F81" i="2447"/>
  <c r="F87" i="2447" s="1"/>
  <c r="F88" i="2447" s="1"/>
  <c r="F73" i="2447"/>
  <c r="F60" i="2447"/>
  <c r="G99" i="2447"/>
  <c r="G105" i="2447" s="1"/>
  <c r="G73" i="2447"/>
  <c r="H195" i="2447"/>
  <c r="H197" i="2447" s="1"/>
  <c r="G190" i="2447"/>
  <c r="G192" i="2447" s="1"/>
  <c r="B90" i="2447"/>
  <c r="B96" i="2447" s="1"/>
  <c r="F72" i="2447"/>
  <c r="F78" i="2447" s="1"/>
  <c r="F79" i="2447" s="1"/>
  <c r="F174" i="2447"/>
  <c r="F177" i="2447" s="1"/>
  <c r="G181" i="2447"/>
  <c r="G207" i="2447"/>
  <c r="F207" i="2447"/>
  <c r="F181" i="2447"/>
  <c r="H90" i="2447"/>
  <c r="H96" i="2447" s="1"/>
  <c r="H48" i="2447"/>
  <c r="H156" i="2447"/>
  <c r="E99" i="2447"/>
  <c r="E105" i="2447" s="1"/>
  <c r="B99" i="2447"/>
  <c r="B105" i="2447" s="1"/>
  <c r="B190" i="2447"/>
  <c r="B192" i="2447" s="1"/>
  <c r="G90" i="2447"/>
  <c r="G96" i="2447" s="1"/>
  <c r="C93" i="2447"/>
  <c r="C174" i="2447"/>
  <c r="C177" i="2447" s="1"/>
  <c r="D90" i="2447"/>
  <c r="D96" i="2447" s="1"/>
  <c r="D171" i="2447"/>
  <c r="F90" i="2447"/>
  <c r="F96" i="2447" s="1"/>
  <c r="H181" i="2447"/>
  <c r="H207" i="2447"/>
  <c r="B207" i="2447"/>
  <c r="B181" i="2447"/>
  <c r="I207" i="2447"/>
  <c r="I181" i="2447"/>
  <c r="C99" i="2447"/>
  <c r="C105" i="2447" s="1"/>
  <c r="D99" i="2447"/>
  <c r="D105" i="2447" s="1"/>
  <c r="H110" i="2826"/>
  <c r="H154" i="2826"/>
  <c r="F99" i="2447"/>
  <c r="F105" i="2447" s="1"/>
  <c r="F190" i="2447"/>
  <c r="F192" i="2447" s="1"/>
  <c r="G195" i="2447"/>
  <c r="G197" i="2447" s="1"/>
  <c r="D207" i="2447"/>
  <c r="D181" i="2447"/>
  <c r="G93" i="2447"/>
  <c r="G174" i="2447"/>
  <c r="G177" i="2447" s="1"/>
  <c r="E102" i="2447"/>
  <c r="E175" i="2447"/>
  <c r="E176" i="2447" s="1"/>
  <c r="E195" i="2447" s="1"/>
  <c r="E197" i="2447" s="1"/>
  <c r="C181" i="2447"/>
  <c r="C207" i="2447"/>
  <c r="H99" i="2447"/>
  <c r="H105" i="2447" s="1"/>
  <c r="H190" i="2447"/>
  <c r="H192" i="2447" s="1"/>
  <c r="E207" i="2447"/>
  <c r="E181" i="2447"/>
  <c r="I99" i="2447"/>
  <c r="I105" i="2447" s="1"/>
  <c r="I190" i="2447"/>
  <c r="I192" i="2447" s="1"/>
  <c r="D102" i="2447"/>
  <c r="D175" i="2447"/>
  <c r="D176" i="2447" s="1"/>
  <c r="D195" i="2447" s="1"/>
  <c r="D197" i="2447" s="1"/>
  <c r="D174" i="2447"/>
  <c r="D177" i="2447" s="1"/>
  <c r="H84" i="2447"/>
  <c r="H174" i="2447"/>
  <c r="H177" i="2447" s="1"/>
  <c r="E111" i="2447"/>
  <c r="C102" i="2447"/>
  <c r="C175" i="2447"/>
  <c r="C176" i="2447" s="1"/>
  <c r="C195" i="2447" s="1"/>
  <c r="C197" i="2447" s="1"/>
  <c r="B59" i="2447"/>
  <c r="B174" i="2447"/>
  <c r="B177" i="2447" s="1"/>
  <c r="F160" i="2447"/>
  <c r="B195" i="2447"/>
  <c r="B197" i="2447" s="1"/>
  <c r="H73" i="2447"/>
  <c r="H92" i="2826"/>
  <c r="H101" i="2826"/>
  <c r="H83" i="2826"/>
  <c r="C132" i="2826"/>
  <c r="B81" i="2447"/>
  <c r="B87" i="2447" s="1"/>
  <c r="B88" i="2447" s="1"/>
  <c r="B72" i="2447"/>
  <c r="B78" i="2447" s="1"/>
  <c r="B79" i="2447" s="1"/>
  <c r="B93" i="2447"/>
  <c r="B84" i="2447"/>
  <c r="D81" i="2447"/>
  <c r="D87" i="2447" s="1"/>
  <c r="D88" i="2447" s="1"/>
  <c r="I73" i="2447"/>
  <c r="H93" i="2447"/>
  <c r="G84" i="2447"/>
  <c r="G81" i="2447"/>
  <c r="G87" i="2447" s="1"/>
  <c r="G88" i="2447" s="1"/>
  <c r="C73" i="2447"/>
  <c r="G72" i="2447"/>
  <c r="G78" i="2447" s="1"/>
  <c r="G79" i="2447" s="1"/>
  <c r="C134" i="2447"/>
  <c r="C84" i="2447"/>
  <c r="H49" i="2447"/>
  <c r="H94" i="2447"/>
  <c r="E72" i="2447"/>
  <c r="E78" i="2447" s="1"/>
  <c r="E79" i="2447" s="1"/>
  <c r="H112" i="2447"/>
  <c r="H85" i="2447"/>
  <c r="H50" i="2447"/>
  <c r="H81" i="2447"/>
  <c r="H87" i="2447" s="1"/>
  <c r="H88" i="2447" s="1"/>
  <c r="H103" i="2447"/>
  <c r="H72" i="2447"/>
  <c r="H78" i="2447" s="1"/>
  <c r="H79" i="2447" s="1"/>
  <c r="E74" i="2447"/>
  <c r="E73" i="2447"/>
  <c r="D73" i="2447"/>
  <c r="B73" i="2447"/>
  <c r="D72" i="2447"/>
  <c r="D78" i="2447" s="1"/>
  <c r="D79" i="2447" s="1"/>
  <c r="D93" i="2447"/>
  <c r="H51" i="2447"/>
  <c r="C81" i="2447"/>
  <c r="C87" i="2447" s="1"/>
  <c r="C88" i="2447" s="1"/>
  <c r="C72" i="2447"/>
  <c r="C78" i="2447" s="1"/>
  <c r="C79" i="2447" s="1"/>
  <c r="C90" i="2447"/>
  <c r="C96" i="2447" s="1"/>
  <c r="C111" i="2447"/>
  <c r="C74" i="2447"/>
  <c r="D111" i="2447"/>
  <c r="I84" i="2447"/>
  <c r="I93" i="2447"/>
  <c r="D84" i="2447"/>
  <c r="B111" i="2447"/>
  <c r="B74" i="2447"/>
  <c r="I90" i="2447"/>
  <c r="I96" i="2447" s="1"/>
  <c r="I81" i="2447"/>
  <c r="I87" i="2447" s="1"/>
  <c r="I88" i="2447" s="1"/>
  <c r="I72" i="2447"/>
  <c r="I78" i="2447" s="1"/>
  <c r="I79" i="2447" s="1"/>
  <c r="B102" i="2447"/>
  <c r="B60" i="2447"/>
  <c r="E90" i="2447"/>
  <c r="E96" i="2447" s="1"/>
  <c r="E81" i="2447"/>
  <c r="E87" i="2447" s="1"/>
  <c r="E88" i="2447" s="1"/>
  <c r="D74" i="2447"/>
  <c r="E84" i="2447"/>
  <c r="E93" i="2447"/>
  <c r="B61" i="2447"/>
  <c r="F84" i="2447"/>
  <c r="F59" i="2447"/>
  <c r="F93" i="2447"/>
  <c r="F68" i="2447" l="1"/>
  <c r="D66" i="2447"/>
  <c r="E66" i="2447"/>
  <c r="G66" i="2447"/>
  <c r="F66" i="2447"/>
  <c r="B70" i="2447"/>
  <c r="D67" i="2447"/>
  <c r="G67" i="2447"/>
  <c r="C67" i="2447"/>
  <c r="F67" i="2447"/>
  <c r="C61" i="2447"/>
  <c r="C68" i="2447" s="1"/>
  <c r="D61" i="2447"/>
  <c r="D68" i="2447" s="1"/>
  <c r="C152" i="2447"/>
  <c r="C155" i="2447" s="1"/>
  <c r="C157" i="2447" s="1"/>
  <c r="C160" i="2447" s="1"/>
  <c r="C75" i="2447"/>
  <c r="C92" i="2447"/>
  <c r="C83" i="2447"/>
  <c r="D83" i="2447"/>
  <c r="D152" i="2447"/>
  <c r="D155" i="2447" s="1"/>
  <c r="D157" i="2447" s="1"/>
  <c r="D160" i="2447" s="1"/>
  <c r="D92" i="2447"/>
  <c r="D75" i="2447"/>
  <c r="C59" i="2447"/>
  <c r="C211" i="2447" s="1"/>
  <c r="C214" i="2447" s="1"/>
  <c r="C217" i="2447" s="1"/>
  <c r="C153" i="2447"/>
  <c r="C154" i="2447" s="1"/>
  <c r="C101" i="2447"/>
  <c r="D101" i="2447"/>
  <c r="D153" i="2447"/>
  <c r="D154" i="2447" s="1"/>
  <c r="I101" i="2447"/>
  <c r="I59" i="2447"/>
  <c r="I200" i="2447" s="1"/>
  <c r="I203" i="2447" s="1"/>
  <c r="I92" i="2447"/>
  <c r="I60" i="2447"/>
  <c r="I70" i="2447" s="1"/>
  <c r="I65" i="2447" s="1"/>
  <c r="I83" i="2447"/>
  <c r="I75" i="2447"/>
  <c r="I61" i="2447"/>
  <c r="I68" i="2447" s="1"/>
  <c r="E61" i="2447"/>
  <c r="E68" i="2447" s="1"/>
  <c r="E153" i="2447"/>
  <c r="E154" i="2447" s="1"/>
  <c r="E101" i="2447"/>
  <c r="G152" i="2447"/>
  <c r="G155" i="2447" s="1"/>
  <c r="G157" i="2447" s="1"/>
  <c r="G160" i="2447" s="1"/>
  <c r="G75" i="2447"/>
  <c r="G83" i="2447"/>
  <c r="G92" i="2447"/>
  <c r="E60" i="2447"/>
  <c r="E70" i="2447" s="1"/>
  <c r="E65" i="2447" s="1"/>
  <c r="G153" i="2447"/>
  <c r="G154" i="2447" s="1"/>
  <c r="G101" i="2447"/>
  <c r="G61" i="2447"/>
  <c r="G68" i="2447" s="1"/>
  <c r="G110" i="2447"/>
  <c r="E83" i="2447"/>
  <c r="E75" i="2447"/>
  <c r="E92" i="2447"/>
  <c r="E152" i="2447"/>
  <c r="E155" i="2447" s="1"/>
  <c r="E157" i="2447" s="1"/>
  <c r="E160" i="2447" s="1"/>
  <c r="G201" i="2447"/>
  <c r="G202" i="2447" s="1"/>
  <c r="G70" i="2447"/>
  <c r="G65" i="2447" s="1"/>
  <c r="G218" i="2447" s="1"/>
  <c r="F212" i="2447"/>
  <c r="F213" i="2447" s="1"/>
  <c r="F70" i="2447"/>
  <c r="F65" i="2447" s="1"/>
  <c r="F218" i="2447" s="1"/>
  <c r="E185" i="2447"/>
  <c r="E187" i="2447" s="1"/>
  <c r="B180" i="2447"/>
  <c r="B182" i="2447" s="1"/>
  <c r="F180" i="2447"/>
  <c r="F182" i="2447" s="1"/>
  <c r="I185" i="2447"/>
  <c r="I187" i="2447" s="1"/>
  <c r="C180" i="2447"/>
  <c r="C182" i="2447" s="1"/>
  <c r="G115" i="2447"/>
  <c r="G212" i="2447"/>
  <c r="G213" i="2447" s="1"/>
  <c r="F201" i="2447"/>
  <c r="F202" i="2447" s="1"/>
  <c r="I115" i="2447"/>
  <c r="B115" i="2447"/>
  <c r="I182" i="2447"/>
  <c r="D190" i="2447"/>
  <c r="D192" i="2447" s="1"/>
  <c r="C185" i="2447"/>
  <c r="C187" i="2447" s="1"/>
  <c r="E182" i="2447"/>
  <c r="F185" i="2447"/>
  <c r="F187" i="2447" s="1"/>
  <c r="D115" i="2447"/>
  <c r="F115" i="2447"/>
  <c r="E190" i="2447"/>
  <c r="E192" i="2447" s="1"/>
  <c r="C190" i="2447"/>
  <c r="C192" i="2447" s="1"/>
  <c r="D180" i="2447"/>
  <c r="D182" i="2447" s="1"/>
  <c r="H115" i="2447"/>
  <c r="B212" i="2447"/>
  <c r="B213" i="2447" s="1"/>
  <c r="B201" i="2447"/>
  <c r="B202" i="2447" s="1"/>
  <c r="D212" i="2447"/>
  <c r="D213" i="2447" s="1"/>
  <c r="D201" i="2447"/>
  <c r="D202" i="2447" s="1"/>
  <c r="D185" i="2447"/>
  <c r="D187" i="2447" s="1"/>
  <c r="F211" i="2447"/>
  <c r="F214" i="2447" s="1"/>
  <c r="F217" i="2447" s="1"/>
  <c r="F200" i="2447"/>
  <c r="F203" i="2447" s="1"/>
  <c r="E211" i="2447"/>
  <c r="E214" i="2447" s="1"/>
  <c r="E217" i="2447" s="1"/>
  <c r="E200" i="2447"/>
  <c r="E203" i="2447" s="1"/>
  <c r="H101" i="2447"/>
  <c r="H153" i="2447"/>
  <c r="H154" i="2447" s="1"/>
  <c r="G211" i="2447"/>
  <c r="G214" i="2447" s="1"/>
  <c r="G217" i="2447" s="1"/>
  <c r="G200" i="2447"/>
  <c r="G203" i="2447" s="1"/>
  <c r="H92" i="2447"/>
  <c r="H152" i="2447"/>
  <c r="H155" i="2447" s="1"/>
  <c r="H157" i="2447" s="1"/>
  <c r="H160" i="2447" s="1"/>
  <c r="E115" i="2447"/>
  <c r="C115" i="2447"/>
  <c r="H59" i="2447"/>
  <c r="H66" i="2447" s="1"/>
  <c r="C212" i="2447"/>
  <c r="C213" i="2447" s="1"/>
  <c r="C201" i="2447"/>
  <c r="C202" i="2447" s="1"/>
  <c r="B211" i="2447"/>
  <c r="B214" i="2447" s="1"/>
  <c r="B217" i="2447" s="1"/>
  <c r="B200" i="2447"/>
  <c r="B203" i="2447" s="1"/>
  <c r="D211" i="2447"/>
  <c r="D214" i="2447" s="1"/>
  <c r="D217" i="2447" s="1"/>
  <c r="D200" i="2447"/>
  <c r="D203" i="2447" s="1"/>
  <c r="B185" i="2447"/>
  <c r="B187" i="2447" s="1"/>
  <c r="G171" i="2447"/>
  <c r="G180" i="2447" s="1"/>
  <c r="G182" i="2447" s="1"/>
  <c r="G185" i="2447"/>
  <c r="G187" i="2447" s="1"/>
  <c r="H171" i="2447"/>
  <c r="H180" i="2447" s="1"/>
  <c r="H182" i="2447" s="1"/>
  <c r="H185" i="2447"/>
  <c r="H187" i="2447" s="1"/>
  <c r="C65" i="2447"/>
  <c r="H60" i="2447"/>
  <c r="H70" i="2447" s="1"/>
  <c r="H83" i="2447"/>
  <c r="H110" i="2447"/>
  <c r="H61" i="2447"/>
  <c r="H68" i="2447" s="1"/>
  <c r="H75" i="2447"/>
  <c r="D65" i="2447"/>
  <c r="B65" i="2447"/>
  <c r="I67" i="2447" l="1"/>
  <c r="C66" i="2447"/>
  <c r="H67" i="2447"/>
  <c r="E67" i="2447"/>
  <c r="I66" i="2447"/>
  <c r="J66" i="2447"/>
  <c r="B218" i="2447"/>
  <c r="B219" i="2447" s="1"/>
  <c r="J67" i="2447"/>
  <c r="C200" i="2447"/>
  <c r="C203" i="2447" s="1"/>
  <c r="C205" i="2447" s="1"/>
  <c r="C208" i="2447" s="1"/>
  <c r="I211" i="2447"/>
  <c r="I214" i="2447" s="1"/>
  <c r="I217" i="2447" s="1"/>
  <c r="I212" i="2447"/>
  <c r="I213" i="2447" s="1"/>
  <c r="I201" i="2447"/>
  <c r="I202" i="2447" s="1"/>
  <c r="E212" i="2447"/>
  <c r="E213" i="2447" s="1"/>
  <c r="E201" i="2447"/>
  <c r="E202" i="2447" s="1"/>
  <c r="E198" i="2447"/>
  <c r="E193" i="2447"/>
  <c r="E188" i="2447"/>
  <c r="F198" i="2447"/>
  <c r="F193" i="2447"/>
  <c r="F188" i="2447"/>
  <c r="C198" i="2447"/>
  <c r="C193" i="2447"/>
  <c r="C188" i="2447"/>
  <c r="H198" i="2447"/>
  <c r="H193" i="2447"/>
  <c r="H188" i="2447"/>
  <c r="B198" i="2447"/>
  <c r="B193" i="2447"/>
  <c r="B188" i="2447"/>
  <c r="G198" i="2447"/>
  <c r="G193" i="2447"/>
  <c r="G188" i="2447"/>
  <c r="D198" i="2447"/>
  <c r="D193" i="2447"/>
  <c r="D188" i="2447"/>
  <c r="I198" i="2447"/>
  <c r="I193" i="2447"/>
  <c r="I188" i="2447"/>
  <c r="B205" i="2447"/>
  <c r="B208" i="2447" s="1"/>
  <c r="I205" i="2447"/>
  <c r="I208" i="2447" s="1"/>
  <c r="F205" i="2447"/>
  <c r="F208" i="2447" s="1"/>
  <c r="G205" i="2447"/>
  <c r="G208" i="2447" s="1"/>
  <c r="D205" i="2447"/>
  <c r="D208" i="2447" s="1"/>
  <c r="E205" i="2447"/>
  <c r="E208" i="2447" s="1"/>
  <c r="F122" i="2447"/>
  <c r="G122" i="2447"/>
  <c r="G118" i="2447"/>
  <c r="F120" i="2447"/>
  <c r="F118" i="2447"/>
  <c r="F219" i="2447"/>
  <c r="C118" i="2447"/>
  <c r="C218" i="2447"/>
  <c r="C219" i="2447" s="1"/>
  <c r="D120" i="2447"/>
  <c r="D218" i="2447"/>
  <c r="D219" i="2447" s="1"/>
  <c r="I120" i="2447"/>
  <c r="I218" i="2447"/>
  <c r="G120" i="2447"/>
  <c r="G219" i="2447"/>
  <c r="E118" i="2447"/>
  <c r="E218" i="2447"/>
  <c r="E219" i="2447" s="1"/>
  <c r="H212" i="2447"/>
  <c r="H213" i="2447" s="1"/>
  <c r="H201" i="2447"/>
  <c r="H202" i="2447" s="1"/>
  <c r="H211" i="2447"/>
  <c r="H214" i="2447" s="1"/>
  <c r="H217" i="2447" s="1"/>
  <c r="H200" i="2447"/>
  <c r="H203" i="2447" s="1"/>
  <c r="H65" i="2447"/>
  <c r="C120" i="2447"/>
  <c r="C122" i="2447"/>
  <c r="E122" i="2447"/>
  <c r="I122" i="2447"/>
  <c r="I118" i="2447"/>
  <c r="D122" i="2447"/>
  <c r="D118" i="2447"/>
  <c r="E120" i="2447"/>
  <c r="B120" i="2447"/>
  <c r="B122" i="2447"/>
  <c r="J68" i="2447"/>
  <c r="B118" i="2447"/>
  <c r="F110" i="74"/>
  <c r="E110" i="74"/>
  <c r="D110" i="74"/>
  <c r="C110" i="74"/>
  <c r="B110" i="74"/>
  <c r="F101" i="74"/>
  <c r="E101" i="74"/>
  <c r="D101" i="74"/>
  <c r="C101" i="74"/>
  <c r="B101" i="74"/>
  <c r="F92" i="74"/>
  <c r="E92" i="74"/>
  <c r="D92" i="74"/>
  <c r="C92" i="74"/>
  <c r="B92" i="74"/>
  <c r="I219" i="2447" l="1"/>
  <c r="I220" i="2447" s="1"/>
  <c r="C220" i="2447"/>
  <c r="G220" i="2447"/>
  <c r="E220" i="2447"/>
  <c r="D220" i="2447"/>
  <c r="F220" i="2447"/>
  <c r="B220" i="2447"/>
  <c r="H205" i="2447"/>
  <c r="H208" i="2447" s="1"/>
  <c r="H120" i="2447"/>
  <c r="H218" i="2447"/>
  <c r="H219" i="2447" s="1"/>
  <c r="B21" i="2826"/>
  <c r="C22" i="2826"/>
  <c r="C20" i="2826"/>
  <c r="D49" i="2826"/>
  <c r="D151" i="2826" s="1"/>
  <c r="D152" i="2826" s="1"/>
  <c r="D33" i="2826"/>
  <c r="E21" i="2826"/>
  <c r="F21" i="2826"/>
  <c r="G48" i="2826"/>
  <c r="G150" i="2826" s="1"/>
  <c r="G153" i="2826" s="1"/>
  <c r="G155" i="2826" s="1"/>
  <c r="G32" i="2826"/>
  <c r="I50" i="2826"/>
  <c r="I34" i="2826"/>
  <c r="C48" i="2826"/>
  <c r="C150" i="2826" s="1"/>
  <c r="C153" i="2826" s="1"/>
  <c r="C155" i="2826" s="1"/>
  <c r="C32" i="2826"/>
  <c r="G34" i="2826"/>
  <c r="G50" i="2826"/>
  <c r="F49" i="2826"/>
  <c r="F151" i="2826" s="1"/>
  <c r="F152" i="2826" s="1"/>
  <c r="F33" i="2826"/>
  <c r="F48" i="2826"/>
  <c r="F150" i="2826" s="1"/>
  <c r="F153" i="2826" s="1"/>
  <c r="F155" i="2826" s="1"/>
  <c r="F32" i="2826"/>
  <c r="B20" i="2826"/>
  <c r="B22" i="2826"/>
  <c r="B49" i="2826"/>
  <c r="B151" i="2826" s="1"/>
  <c r="B152" i="2826" s="1"/>
  <c r="B33" i="2826"/>
  <c r="B48" i="2826"/>
  <c r="B150" i="2826" s="1"/>
  <c r="B153" i="2826" s="1"/>
  <c r="B155" i="2826" s="1"/>
  <c r="B32" i="2826"/>
  <c r="E22" i="2826"/>
  <c r="E50" i="2826"/>
  <c r="E34" i="2826"/>
  <c r="E20" i="2826"/>
  <c r="G22" i="2826"/>
  <c r="F50" i="2826"/>
  <c r="F34" i="2826"/>
  <c r="I22" i="2826"/>
  <c r="H20" i="2826"/>
  <c r="I21" i="2826"/>
  <c r="H48" i="2826"/>
  <c r="H150" i="2826" s="1"/>
  <c r="H153" i="2826" s="1"/>
  <c r="H155" i="2826" s="1"/>
  <c r="H32" i="2826"/>
  <c r="B50" i="2826"/>
  <c r="B34" i="2826"/>
  <c r="E49" i="2826"/>
  <c r="E151" i="2826" s="1"/>
  <c r="E152" i="2826" s="1"/>
  <c r="E33" i="2826"/>
  <c r="D48" i="2826"/>
  <c r="D150" i="2826" s="1"/>
  <c r="D153" i="2826" s="1"/>
  <c r="D155" i="2826" s="1"/>
  <c r="D32" i="2826"/>
  <c r="F22" i="2826"/>
  <c r="H22" i="2826"/>
  <c r="H33" i="2826"/>
  <c r="H49" i="2826"/>
  <c r="H151" i="2826" s="1"/>
  <c r="H152" i="2826" s="1"/>
  <c r="H50" i="2826"/>
  <c r="H34" i="2826"/>
  <c r="C49" i="2826"/>
  <c r="C151" i="2826" s="1"/>
  <c r="C152" i="2826" s="1"/>
  <c r="C33" i="2826"/>
  <c r="C50" i="2826"/>
  <c r="C34" i="2826"/>
  <c r="D21" i="2826"/>
  <c r="E48" i="2826"/>
  <c r="E150" i="2826" s="1"/>
  <c r="E153" i="2826" s="1"/>
  <c r="E155" i="2826" s="1"/>
  <c r="E32" i="2826"/>
  <c r="D50" i="2826"/>
  <c r="D34" i="2826"/>
  <c r="G20" i="2826"/>
  <c r="I20" i="2826"/>
  <c r="I48" i="2826"/>
  <c r="I150" i="2826" s="1"/>
  <c r="I153" i="2826" s="1"/>
  <c r="I155" i="2826" s="1"/>
  <c r="I32" i="2826"/>
  <c r="C21" i="2826"/>
  <c r="D22" i="2826"/>
  <c r="D20" i="2826"/>
  <c r="G49" i="2826"/>
  <c r="G151" i="2826" s="1"/>
  <c r="G152" i="2826" s="1"/>
  <c r="G33" i="2826"/>
  <c r="G21" i="2826"/>
  <c r="F20" i="2826"/>
  <c r="H21" i="2826"/>
  <c r="I49" i="2826"/>
  <c r="I151" i="2826" s="1"/>
  <c r="I152" i="2826" s="1"/>
  <c r="I33" i="2826"/>
  <c r="H118" i="2447"/>
  <c r="H122" i="2447"/>
  <c r="F83" i="74"/>
  <c r="E83" i="74"/>
  <c r="D83" i="74"/>
  <c r="C83" i="74"/>
  <c r="B83" i="74"/>
  <c r="H220" i="2447" l="1"/>
  <c r="E108" i="2826"/>
  <c r="G108" i="2826"/>
  <c r="C23" i="2826"/>
  <c r="F23" i="2826"/>
  <c r="D108" i="2826"/>
  <c r="C108" i="2826"/>
  <c r="H108" i="2826"/>
  <c r="B23" i="2826"/>
  <c r="F108" i="2826"/>
  <c r="I108" i="2826"/>
  <c r="D81" i="2826"/>
  <c r="D73" i="2826"/>
  <c r="F81" i="2826"/>
  <c r="F73" i="2826"/>
  <c r="I73" i="2826"/>
  <c r="I81" i="2826"/>
  <c r="H81" i="2826"/>
  <c r="H73" i="2826"/>
  <c r="C81" i="2826"/>
  <c r="C73" i="2826"/>
  <c r="G81" i="2826"/>
  <c r="G73" i="2826"/>
  <c r="E73" i="2826"/>
  <c r="E81" i="2826"/>
  <c r="E35" i="2826"/>
  <c r="E157" i="2826" s="1"/>
  <c r="E158" i="2826" s="1"/>
  <c r="D35" i="2826"/>
  <c r="D157" i="2826" s="1"/>
  <c r="D158" i="2826" s="1"/>
  <c r="F99" i="2826"/>
  <c r="C90" i="2826"/>
  <c r="E90" i="2826"/>
  <c r="B108" i="2826"/>
  <c r="B99" i="2826"/>
  <c r="F35" i="2826"/>
  <c r="F157" i="2826" s="1"/>
  <c r="F158" i="2826" s="1"/>
  <c r="I99" i="2826"/>
  <c r="G99" i="2826"/>
  <c r="I35" i="2826"/>
  <c r="I157" i="2826" s="1"/>
  <c r="I158" i="2826" s="1"/>
  <c r="H99" i="2826"/>
  <c r="H35" i="2826"/>
  <c r="H157" i="2826" s="1"/>
  <c r="H158" i="2826" s="1"/>
  <c r="H23" i="2826"/>
  <c r="E23" i="2826"/>
  <c r="B35" i="2826"/>
  <c r="B157" i="2826" s="1"/>
  <c r="B158" i="2826" s="1"/>
  <c r="F90" i="2826"/>
  <c r="D99" i="2826"/>
  <c r="G90" i="2826"/>
  <c r="I23" i="2826"/>
  <c r="D90" i="2826"/>
  <c r="D23" i="2826"/>
  <c r="I90" i="2826"/>
  <c r="G23" i="2826"/>
  <c r="C99" i="2826"/>
  <c r="E99" i="2826"/>
  <c r="H90" i="2826"/>
  <c r="B90" i="2826"/>
  <c r="B81" i="2826"/>
  <c r="B73" i="2826"/>
  <c r="C35" i="2826"/>
  <c r="C157" i="2826" s="1"/>
  <c r="C158" i="2826" s="1"/>
  <c r="G35" i="2826"/>
  <c r="G157" i="2826" s="1"/>
  <c r="G158" i="2826" s="1"/>
  <c r="H117" i="74"/>
  <c r="G117" i="74"/>
  <c r="F117" i="74"/>
  <c r="E117" i="74"/>
  <c r="D117" i="74"/>
  <c r="C117" i="74"/>
  <c r="B117" i="74"/>
  <c r="F50" i="74" l="1"/>
  <c r="F108" i="74" s="1"/>
  <c r="E50" i="74"/>
  <c r="E108" i="74" s="1"/>
  <c r="D50" i="74"/>
  <c r="D108" i="74" s="1"/>
  <c r="C50" i="74"/>
  <c r="C108" i="74" s="1"/>
  <c r="B50" i="74"/>
  <c r="B108" i="74" s="1"/>
  <c r="F28" i="2826" l="1"/>
  <c r="F194" i="2826" s="1"/>
  <c r="F40" i="2826"/>
  <c r="C28" i="2826"/>
  <c r="C194" i="2826" s="1"/>
  <c r="C40" i="2826"/>
  <c r="C56" i="2826"/>
  <c r="C27" i="2826"/>
  <c r="C189" i="2826" s="1"/>
  <c r="C55" i="2826"/>
  <c r="C173" i="2826" s="1"/>
  <c r="C174" i="2826" s="1"/>
  <c r="C39" i="2826"/>
  <c r="C167" i="2826" s="1"/>
  <c r="C168" i="2826" s="1"/>
  <c r="F27" i="2826"/>
  <c r="F189" i="2826" s="1"/>
  <c r="F39" i="2826"/>
  <c r="F167" i="2826" s="1"/>
  <c r="F168" i="2826" s="1"/>
  <c r="E27" i="2826"/>
  <c r="E189" i="2826" s="1"/>
  <c r="E39" i="2826"/>
  <c r="E167" i="2826" s="1"/>
  <c r="E168" i="2826" s="1"/>
  <c r="B27" i="2826"/>
  <c r="B189" i="2826" s="1"/>
  <c r="B39" i="2826"/>
  <c r="B167" i="2826" s="1"/>
  <c r="B168" i="2826" s="1"/>
  <c r="D28" i="2826"/>
  <c r="D194" i="2826" s="1"/>
  <c r="D40" i="2826"/>
  <c r="E28" i="2826"/>
  <c r="E194" i="2826" s="1"/>
  <c r="E40" i="2826"/>
  <c r="B28" i="2826"/>
  <c r="B194" i="2826" s="1"/>
  <c r="B40" i="2826"/>
  <c r="D27" i="2826"/>
  <c r="D189" i="2826" s="1"/>
  <c r="D39" i="2826"/>
  <c r="D167" i="2826" s="1"/>
  <c r="D168" i="2826" s="1"/>
  <c r="B26" i="2826"/>
  <c r="B184" i="2826" s="1"/>
  <c r="B55" i="2826"/>
  <c r="B173" i="2826" s="1"/>
  <c r="B174" i="2826" s="1"/>
  <c r="B38" i="2826"/>
  <c r="B166" i="2826" s="1"/>
  <c r="B56" i="2826"/>
  <c r="B54" i="2826"/>
  <c r="B172" i="2826" s="1"/>
  <c r="B175" i="2826" s="1"/>
  <c r="C26" i="2826"/>
  <c r="C184" i="2826" s="1"/>
  <c r="C54" i="2826"/>
  <c r="C172" i="2826" s="1"/>
  <c r="C175" i="2826" s="1"/>
  <c r="C38" i="2826"/>
  <c r="C166" i="2826" s="1"/>
  <c r="D26" i="2826"/>
  <c r="D184" i="2826" s="1"/>
  <c r="D54" i="2826"/>
  <c r="D172" i="2826" s="1"/>
  <c r="D175" i="2826" s="1"/>
  <c r="D38" i="2826"/>
  <c r="D166" i="2826" s="1"/>
  <c r="D56" i="2826"/>
  <c r="D55" i="2826"/>
  <c r="D173" i="2826" s="1"/>
  <c r="D174" i="2826" s="1"/>
  <c r="E26" i="2826"/>
  <c r="E184" i="2826" s="1"/>
  <c r="E38" i="2826"/>
  <c r="E166" i="2826" s="1"/>
  <c r="E55" i="2826"/>
  <c r="E173" i="2826" s="1"/>
  <c r="E174" i="2826" s="1"/>
  <c r="E54" i="2826"/>
  <c r="E172" i="2826" s="1"/>
  <c r="E175" i="2826" s="1"/>
  <c r="E56" i="2826"/>
  <c r="F26" i="2826"/>
  <c r="F184" i="2826" s="1"/>
  <c r="F54" i="2826"/>
  <c r="F172" i="2826" s="1"/>
  <c r="F175" i="2826" s="1"/>
  <c r="F55" i="2826"/>
  <c r="F173" i="2826" s="1"/>
  <c r="F174" i="2826" s="1"/>
  <c r="F38" i="2826"/>
  <c r="F166" i="2826" s="1"/>
  <c r="F56" i="2826"/>
  <c r="H8" i="74"/>
  <c r="D8" i="74"/>
  <c r="E8" i="74"/>
  <c r="F8" i="74"/>
  <c r="G8" i="74"/>
  <c r="C8" i="74"/>
  <c r="B7" i="73"/>
  <c r="D109" i="2826" l="1"/>
  <c r="D193" i="2826"/>
  <c r="D195" i="2826" s="1"/>
  <c r="C169" i="2826"/>
  <c r="C178" i="2826" s="1"/>
  <c r="C183" i="2826"/>
  <c r="C185" i="2826" s="1"/>
  <c r="D188" i="2826"/>
  <c r="D190" i="2826" s="1"/>
  <c r="B188" i="2826"/>
  <c r="B190" i="2826" s="1"/>
  <c r="F188" i="2826"/>
  <c r="F190" i="2826" s="1"/>
  <c r="F109" i="2826"/>
  <c r="F193" i="2826"/>
  <c r="F195" i="2826" s="1"/>
  <c r="E169" i="2826"/>
  <c r="E178" i="2826" s="1"/>
  <c r="E183" i="2826"/>
  <c r="E185" i="2826" s="1"/>
  <c r="D169" i="2826"/>
  <c r="D178" i="2826" s="1"/>
  <c r="D183" i="2826"/>
  <c r="D185" i="2826" s="1"/>
  <c r="B169" i="2826"/>
  <c r="B178" i="2826" s="1"/>
  <c r="B183" i="2826"/>
  <c r="B185" i="2826" s="1"/>
  <c r="C109" i="2826"/>
  <c r="C193" i="2826"/>
  <c r="C195" i="2826" s="1"/>
  <c r="F169" i="2826"/>
  <c r="F178" i="2826" s="1"/>
  <c r="F183" i="2826"/>
  <c r="F185" i="2826" s="1"/>
  <c r="E109" i="2826"/>
  <c r="E193" i="2826"/>
  <c r="E195" i="2826" s="1"/>
  <c r="B193" i="2826"/>
  <c r="B195" i="2826" s="1"/>
  <c r="E188" i="2826"/>
  <c r="E190" i="2826" s="1"/>
  <c r="C188" i="2826"/>
  <c r="C190" i="2826" s="1"/>
  <c r="C82" i="2826"/>
  <c r="F82" i="2826"/>
  <c r="C71" i="2826"/>
  <c r="D71" i="2826"/>
  <c r="F71" i="2826"/>
  <c r="C79" i="2826"/>
  <c r="C70" i="2826"/>
  <c r="C76" i="2826" s="1"/>
  <c r="E106" i="2826"/>
  <c r="E112" i="2826" s="1"/>
  <c r="E72" i="2826"/>
  <c r="F106" i="2826"/>
  <c r="F112" i="2826" s="1"/>
  <c r="F72" i="2826"/>
  <c r="E79" i="2826"/>
  <c r="E85" i="2826" s="1"/>
  <c r="E70" i="2826"/>
  <c r="D79" i="2826"/>
  <c r="D85" i="2826" s="1"/>
  <c r="D70" i="2826"/>
  <c r="F79" i="2826"/>
  <c r="F85" i="2826" s="1"/>
  <c r="F70" i="2826"/>
  <c r="F76" i="2826" s="1"/>
  <c r="D82" i="2826"/>
  <c r="D72" i="2826"/>
  <c r="D106" i="2826"/>
  <c r="E71" i="2826"/>
  <c r="C106" i="2826"/>
  <c r="C112" i="2826" s="1"/>
  <c r="C72" i="2826"/>
  <c r="E82" i="2826"/>
  <c r="B15" i="2826"/>
  <c r="B17" i="2826" s="1"/>
  <c r="D88" i="2826"/>
  <c r="F91" i="2826"/>
  <c r="F59" i="2826"/>
  <c r="E91" i="2826"/>
  <c r="E59" i="2826"/>
  <c r="D91" i="2826"/>
  <c r="D59" i="2826"/>
  <c r="C91" i="2826"/>
  <c r="C59" i="2826"/>
  <c r="B109" i="2826"/>
  <c r="B61" i="2826"/>
  <c r="D97" i="2826"/>
  <c r="D103" i="2826" s="1"/>
  <c r="B97" i="2826"/>
  <c r="B71" i="2826"/>
  <c r="C97" i="2826"/>
  <c r="C103" i="2826" s="1"/>
  <c r="C61" i="2826"/>
  <c r="F100" i="2826"/>
  <c r="F60" i="2826"/>
  <c r="F68" i="2826" s="1"/>
  <c r="E29" i="2826"/>
  <c r="C88" i="2826"/>
  <c r="C94" i="2826" s="1"/>
  <c r="B91" i="2826"/>
  <c r="B82" i="2826"/>
  <c r="B59" i="2826"/>
  <c r="B29" i="2826"/>
  <c r="B106" i="2826"/>
  <c r="B112" i="2826" s="1"/>
  <c r="B72" i="2826"/>
  <c r="D15" i="2826"/>
  <c r="D17" i="2826" s="1"/>
  <c r="F61" i="2826"/>
  <c r="F29" i="2826"/>
  <c r="E100" i="2826"/>
  <c r="E60" i="2826"/>
  <c r="E68" i="2826" s="1"/>
  <c r="D100" i="2826"/>
  <c r="D60" i="2826"/>
  <c r="D68" i="2826" s="1"/>
  <c r="D29" i="2826"/>
  <c r="C29" i="2826"/>
  <c r="B88" i="2826"/>
  <c r="B94" i="2826" s="1"/>
  <c r="B79" i="2826"/>
  <c r="B85" i="2826" s="1"/>
  <c r="B70" i="2826"/>
  <c r="B76" i="2826" s="1"/>
  <c r="F97" i="2826"/>
  <c r="F103" i="2826" s="1"/>
  <c r="C100" i="2826"/>
  <c r="C60" i="2826"/>
  <c r="C68" i="2826" s="1"/>
  <c r="F15" i="2826"/>
  <c r="F17" i="2826" s="1"/>
  <c r="E61" i="2826"/>
  <c r="C15" i="2826"/>
  <c r="C17" i="2826" s="1"/>
  <c r="E15" i="2826"/>
  <c r="E17" i="2826" s="1"/>
  <c r="F88" i="2826"/>
  <c r="F94" i="2826" s="1"/>
  <c r="E88" i="2826"/>
  <c r="E94" i="2826" s="1"/>
  <c r="D61" i="2826"/>
  <c r="B100" i="2826"/>
  <c r="B60" i="2826"/>
  <c r="B68" i="2826" s="1"/>
  <c r="E97" i="2826"/>
  <c r="E103" i="2826" s="1"/>
  <c r="B6" i="73"/>
  <c r="F196" i="2826" l="1"/>
  <c r="F191" i="2826"/>
  <c r="F186" i="2826"/>
  <c r="D196" i="2826"/>
  <c r="D191" i="2826"/>
  <c r="D186" i="2826"/>
  <c r="C196" i="2826"/>
  <c r="C191" i="2826"/>
  <c r="C186" i="2826"/>
  <c r="B196" i="2826"/>
  <c r="B191" i="2826"/>
  <c r="B186" i="2826"/>
  <c r="E196" i="2826"/>
  <c r="E191" i="2826"/>
  <c r="E186" i="2826"/>
  <c r="B210" i="2826"/>
  <c r="B211" i="2826" s="1"/>
  <c r="B199" i="2826"/>
  <c r="B200" i="2826" s="1"/>
  <c r="D205" i="2826"/>
  <c r="D179" i="2826"/>
  <c r="D180" i="2826" s="1"/>
  <c r="B179" i="2826"/>
  <c r="B180" i="2826" s="1"/>
  <c r="B205" i="2826"/>
  <c r="C179" i="2826"/>
  <c r="C180" i="2826" s="1"/>
  <c r="C205" i="2826"/>
  <c r="E210" i="2826"/>
  <c r="E211" i="2826" s="1"/>
  <c r="E199" i="2826"/>
  <c r="E200" i="2826" s="1"/>
  <c r="B209" i="2826"/>
  <c r="B212" i="2826" s="1"/>
  <c r="B215" i="2826" s="1"/>
  <c r="B198" i="2826"/>
  <c r="B201" i="2826" s="1"/>
  <c r="B203" i="2826" s="1"/>
  <c r="E179" i="2826"/>
  <c r="E180" i="2826" s="1"/>
  <c r="E205" i="2826"/>
  <c r="D209" i="2826"/>
  <c r="D212" i="2826" s="1"/>
  <c r="D215" i="2826" s="1"/>
  <c r="D198" i="2826"/>
  <c r="D201" i="2826" s="1"/>
  <c r="D203" i="2826" s="1"/>
  <c r="F209" i="2826"/>
  <c r="F212" i="2826" s="1"/>
  <c r="F215" i="2826" s="1"/>
  <c r="F198" i="2826"/>
  <c r="F201" i="2826" s="1"/>
  <c r="F203" i="2826" s="1"/>
  <c r="F210" i="2826"/>
  <c r="F211" i="2826" s="1"/>
  <c r="F199" i="2826"/>
  <c r="F200" i="2826" s="1"/>
  <c r="C210" i="2826"/>
  <c r="C211" i="2826" s="1"/>
  <c r="C199" i="2826"/>
  <c r="C200" i="2826" s="1"/>
  <c r="D210" i="2826"/>
  <c r="D211" i="2826" s="1"/>
  <c r="D199" i="2826"/>
  <c r="D200" i="2826" s="1"/>
  <c r="F179" i="2826"/>
  <c r="F180" i="2826" s="1"/>
  <c r="F205" i="2826"/>
  <c r="C209" i="2826"/>
  <c r="C212" i="2826" s="1"/>
  <c r="C215" i="2826" s="1"/>
  <c r="C198" i="2826"/>
  <c r="C201" i="2826" s="1"/>
  <c r="C203" i="2826" s="1"/>
  <c r="E209" i="2826"/>
  <c r="E212" i="2826" s="1"/>
  <c r="E215" i="2826" s="1"/>
  <c r="E198" i="2826"/>
  <c r="E201" i="2826" s="1"/>
  <c r="E203" i="2826" s="1"/>
  <c r="B86" i="2826"/>
  <c r="F86" i="2826"/>
  <c r="B77" i="2826"/>
  <c r="D86" i="2826"/>
  <c r="E86" i="2826"/>
  <c r="F77" i="2826"/>
  <c r="C77" i="2826"/>
  <c r="E113" i="2826"/>
  <c r="C113" i="2826"/>
  <c r="F113" i="2826"/>
  <c r="C65" i="2826"/>
  <c r="C216" i="2826" s="1"/>
  <c r="F65" i="2826"/>
  <c r="F216" i="2826" s="1"/>
  <c r="E76" i="2826"/>
  <c r="E77" i="2826" s="1"/>
  <c r="B65" i="2826"/>
  <c r="B216" i="2826" s="1"/>
  <c r="C85" i="2826"/>
  <c r="C86" i="2826" s="1"/>
  <c r="E65" i="2826"/>
  <c r="E216" i="2826" s="1"/>
  <c r="D94" i="2826"/>
  <c r="D112" i="2826"/>
  <c r="B103" i="2826"/>
  <c r="B113" i="2826" s="1"/>
  <c r="D65" i="2826"/>
  <c r="D216" i="2826" s="1"/>
  <c r="D76" i="2826"/>
  <c r="D77" i="2826" s="1"/>
  <c r="B8" i="73"/>
  <c r="B9" i="73" s="1"/>
  <c r="B12" i="73" s="1"/>
  <c r="B15" i="73" s="1"/>
  <c r="B19" i="73" s="1"/>
  <c r="C206" i="2826" l="1"/>
  <c r="D206" i="2826"/>
  <c r="E206" i="2826"/>
  <c r="F206" i="2826"/>
  <c r="B206" i="2826"/>
  <c r="D217" i="2826"/>
  <c r="C217" i="2826"/>
  <c r="F217" i="2826"/>
  <c r="B217" i="2826"/>
  <c r="E217" i="2826"/>
  <c r="D113" i="2826"/>
  <c r="C66" i="2826"/>
  <c r="E120" i="2826"/>
  <c r="E118" i="2826"/>
  <c r="E116" i="2826"/>
  <c r="D120" i="2826"/>
  <c r="D118" i="2826"/>
  <c r="D116" i="2826"/>
  <c r="E66" i="2826"/>
  <c r="D66" i="2826"/>
  <c r="J66" i="2826"/>
  <c r="B120" i="2826"/>
  <c r="B116" i="2826"/>
  <c r="B118" i="2826"/>
  <c r="F66" i="2826"/>
  <c r="C120" i="2826"/>
  <c r="C118" i="2826"/>
  <c r="C116" i="2826"/>
  <c r="F120" i="2826"/>
  <c r="F118" i="2826"/>
  <c r="F116" i="2826"/>
  <c r="B139" i="74"/>
  <c r="H13" i="74" s="1"/>
  <c r="B132" i="74"/>
  <c r="C130" i="74" s="1"/>
  <c r="B218" i="2826" l="1"/>
  <c r="F218" i="2826"/>
  <c r="E218" i="2826"/>
  <c r="C218" i="2826"/>
  <c r="D218" i="2826"/>
  <c r="H50" i="74"/>
  <c r="H108" i="74" s="1"/>
  <c r="H101" i="74"/>
  <c r="H110" i="74"/>
  <c r="H92" i="74"/>
  <c r="H83" i="74"/>
  <c r="G13" i="74"/>
  <c r="C128" i="74"/>
  <c r="C131" i="74"/>
  <c r="C129" i="74"/>
  <c r="G50" i="74" l="1"/>
  <c r="G108" i="74" s="1"/>
  <c r="G101" i="74"/>
  <c r="G110" i="74"/>
  <c r="G92" i="74"/>
  <c r="G83" i="74"/>
  <c r="C132" i="74"/>
  <c r="B8" i="71"/>
  <c r="B9" i="71" s="1"/>
  <c r="B10" i="70"/>
  <c r="B11" i="70" s="1"/>
  <c r="O9" i="71" l="1"/>
  <c r="O8" i="71"/>
  <c r="N9" i="71"/>
  <c r="N8" i="71"/>
  <c r="U10" i="70"/>
  <c r="T10" i="70"/>
  <c r="N80" i="68"/>
  <c r="N74" i="68"/>
  <c r="B64" i="68"/>
  <c r="C64" i="68" s="1"/>
  <c r="N67" i="68" s="1"/>
  <c r="C76" i="68"/>
  <c r="C70" i="68"/>
  <c r="B70" i="68"/>
  <c r="F49" i="74" l="1"/>
  <c r="F99" i="74" s="1"/>
  <c r="H51" i="74"/>
  <c r="H49" i="74"/>
  <c r="H99" i="74" s="1"/>
  <c r="H48" i="74"/>
  <c r="E51" i="74"/>
  <c r="D51" i="74"/>
  <c r="C51" i="74"/>
  <c r="E49" i="74"/>
  <c r="E99" i="74" s="1"/>
  <c r="D49" i="74"/>
  <c r="D99" i="74" s="1"/>
  <c r="C49" i="74"/>
  <c r="C99" i="74" s="1"/>
  <c r="E48" i="74"/>
  <c r="E90" i="74" s="1"/>
  <c r="D48" i="74"/>
  <c r="D90" i="74" s="1"/>
  <c r="C48" i="74"/>
  <c r="C90" i="74" s="1"/>
  <c r="B51" i="74"/>
  <c r="B49" i="74"/>
  <c r="B99" i="74" s="1"/>
  <c r="B48" i="74"/>
  <c r="H40" i="74"/>
  <c r="H106" i="74" s="1"/>
  <c r="H112" i="74" s="1"/>
  <c r="G40" i="74"/>
  <c r="G106" i="74" s="1"/>
  <c r="G112" i="74" s="1"/>
  <c r="F40" i="74"/>
  <c r="F106" i="74" s="1"/>
  <c r="F112" i="74" s="1"/>
  <c r="E40" i="74"/>
  <c r="E106" i="74" s="1"/>
  <c r="E112" i="74" s="1"/>
  <c r="D40" i="74"/>
  <c r="D106" i="74" s="1"/>
  <c r="D112" i="74" s="1"/>
  <c r="C40" i="74"/>
  <c r="C106" i="74" s="1"/>
  <c r="C112" i="74" s="1"/>
  <c r="B40" i="74"/>
  <c r="B106" i="74" s="1"/>
  <c r="B112" i="74" s="1"/>
  <c r="H44" i="74"/>
  <c r="G44" i="74"/>
  <c r="F44" i="74"/>
  <c r="E44" i="74"/>
  <c r="D44" i="74"/>
  <c r="C44" i="74"/>
  <c r="H43" i="74"/>
  <c r="H89" i="74" s="1"/>
  <c r="G43" i="74"/>
  <c r="F43" i="74"/>
  <c r="F89" i="74" s="1"/>
  <c r="E43" i="74"/>
  <c r="D43" i="74"/>
  <c r="C43" i="74"/>
  <c r="B44" i="74"/>
  <c r="B43" i="74"/>
  <c r="G49" i="74"/>
  <c r="G99" i="74" s="1"/>
  <c r="F51" i="74"/>
  <c r="B80" i="74" l="1"/>
  <c r="B89" i="74"/>
  <c r="E80" i="74"/>
  <c r="E89" i="74"/>
  <c r="C39" i="74"/>
  <c r="C97" i="74" s="1"/>
  <c r="C103" i="74" s="1"/>
  <c r="C98" i="74"/>
  <c r="G39" i="74"/>
  <c r="G97" i="74" s="1"/>
  <c r="G103" i="74" s="1"/>
  <c r="G98" i="74"/>
  <c r="B39" i="74"/>
  <c r="B97" i="74" s="1"/>
  <c r="B103" i="74" s="1"/>
  <c r="B98" i="74"/>
  <c r="D39" i="74"/>
  <c r="D97" i="74" s="1"/>
  <c r="D103" i="74" s="1"/>
  <c r="D98" i="74"/>
  <c r="H39" i="74"/>
  <c r="H97" i="74" s="1"/>
  <c r="H103" i="74" s="1"/>
  <c r="H98" i="74"/>
  <c r="C80" i="74"/>
  <c r="C89" i="74"/>
  <c r="G80" i="74"/>
  <c r="G89" i="74"/>
  <c r="E39" i="74"/>
  <c r="E97" i="74" s="1"/>
  <c r="E103" i="74" s="1"/>
  <c r="E98" i="74"/>
  <c r="D80" i="74"/>
  <c r="D89" i="74"/>
  <c r="F39" i="74"/>
  <c r="F97" i="74" s="1"/>
  <c r="F103" i="74" s="1"/>
  <c r="F98" i="74"/>
  <c r="H81" i="74"/>
  <c r="H90" i="74"/>
  <c r="B81" i="74"/>
  <c r="B90" i="74"/>
  <c r="H38" i="74"/>
  <c r="H80" i="74"/>
  <c r="F38" i="74"/>
  <c r="F80" i="74"/>
  <c r="C81" i="74"/>
  <c r="D81" i="74"/>
  <c r="E81" i="74"/>
  <c r="B73" i="74"/>
  <c r="D73" i="74"/>
  <c r="H73" i="74"/>
  <c r="E73" i="74"/>
  <c r="C73" i="74"/>
  <c r="D54" i="74"/>
  <c r="D91" i="74" s="1"/>
  <c r="B56" i="74"/>
  <c r="C55" i="74"/>
  <c r="G54" i="74"/>
  <c r="G91" i="74" s="1"/>
  <c r="C38" i="74"/>
  <c r="E54" i="74"/>
  <c r="E91" i="74" s="1"/>
  <c r="G38" i="74"/>
  <c r="C54" i="74"/>
  <c r="C56" i="74"/>
  <c r="E38" i="74"/>
  <c r="G51" i="74"/>
  <c r="H54" i="74"/>
  <c r="D55" i="74"/>
  <c r="D38" i="74"/>
  <c r="F48" i="74"/>
  <c r="F90" i="74" s="1"/>
  <c r="B54" i="74"/>
  <c r="B91" i="74" s="1"/>
  <c r="D56" i="74"/>
  <c r="G48" i="74"/>
  <c r="G90" i="74" s="1"/>
  <c r="F54" i="74"/>
  <c r="F91" i="74" s="1"/>
  <c r="B55" i="74"/>
  <c r="B38" i="74"/>
  <c r="D61" i="74" l="1"/>
  <c r="D109" i="74"/>
  <c r="C61" i="74"/>
  <c r="C109" i="74"/>
  <c r="C60" i="74"/>
  <c r="C100" i="74"/>
  <c r="D60" i="74"/>
  <c r="D100" i="74"/>
  <c r="B60" i="74"/>
  <c r="B100" i="74"/>
  <c r="H59" i="74"/>
  <c r="H91" i="74"/>
  <c r="C82" i="74"/>
  <c r="C91" i="74"/>
  <c r="B72" i="74"/>
  <c r="B109" i="74"/>
  <c r="B79" i="74"/>
  <c r="B85" i="74" s="1"/>
  <c r="B88" i="74"/>
  <c r="B94" i="74" s="1"/>
  <c r="C79" i="74"/>
  <c r="C85" i="74" s="1"/>
  <c r="C88" i="74"/>
  <c r="C94" i="74" s="1"/>
  <c r="F79" i="74"/>
  <c r="F85" i="74" s="1"/>
  <c r="F88" i="74"/>
  <c r="F94" i="74" s="1"/>
  <c r="F70" i="74"/>
  <c r="F76" i="74" s="1"/>
  <c r="G79" i="74"/>
  <c r="G85" i="74" s="1"/>
  <c r="G88" i="74"/>
  <c r="G94" i="74" s="1"/>
  <c r="D79" i="74"/>
  <c r="D85" i="74" s="1"/>
  <c r="D88" i="74"/>
  <c r="D94" i="74" s="1"/>
  <c r="E79" i="74"/>
  <c r="E85" i="74" s="1"/>
  <c r="E88" i="74"/>
  <c r="E94" i="74" s="1"/>
  <c r="H79" i="74"/>
  <c r="H85" i="74" s="1"/>
  <c r="H88" i="74"/>
  <c r="H94" i="74" s="1"/>
  <c r="B82" i="74"/>
  <c r="D82" i="74"/>
  <c r="F73" i="74"/>
  <c r="F81" i="74"/>
  <c r="G73" i="74"/>
  <c r="G81" i="74"/>
  <c r="E70" i="74"/>
  <c r="E76" i="74" s="1"/>
  <c r="B61" i="74"/>
  <c r="D70" i="74"/>
  <c r="D76" i="74" s="1"/>
  <c r="C72" i="74"/>
  <c r="D71" i="74"/>
  <c r="G70" i="74"/>
  <c r="G76" i="74" s="1"/>
  <c r="D72" i="74"/>
  <c r="C71" i="74"/>
  <c r="B70" i="74"/>
  <c r="B76" i="74" s="1"/>
  <c r="C70" i="74"/>
  <c r="C76" i="74" s="1"/>
  <c r="H70" i="74"/>
  <c r="H76" i="74" s="1"/>
  <c r="B71" i="74"/>
  <c r="C59" i="74"/>
  <c r="D59" i="74"/>
  <c r="G59" i="74"/>
  <c r="B59" i="74"/>
  <c r="E59" i="74"/>
  <c r="F59" i="74"/>
  <c r="C15" i="74"/>
  <c r="C17" i="74" s="1"/>
  <c r="B15" i="74"/>
  <c r="B17" i="74" s="1"/>
  <c r="D68" i="74" l="1"/>
  <c r="D65" i="74" s="1"/>
  <c r="C86" i="74"/>
  <c r="C68" i="74"/>
  <c r="C65" i="74" s="1"/>
  <c r="B77" i="74"/>
  <c r="B113" i="74"/>
  <c r="C113" i="74"/>
  <c r="C77" i="74"/>
  <c r="B86" i="74"/>
  <c r="B68" i="74"/>
  <c r="B65" i="74" s="1"/>
  <c r="E54" i="72"/>
  <c r="D54" i="72"/>
  <c r="C54" i="72"/>
  <c r="B54" i="72"/>
  <c r="E53" i="72"/>
  <c r="D53" i="72"/>
  <c r="C53" i="72"/>
  <c r="B53" i="72"/>
  <c r="E52" i="72"/>
  <c r="D52" i="72"/>
  <c r="C52" i="72"/>
  <c r="B52" i="72"/>
  <c r="E51" i="72"/>
  <c r="D51" i="72"/>
  <c r="C51" i="72"/>
  <c r="B51" i="72"/>
  <c r="E50" i="72"/>
  <c r="D50" i="72"/>
  <c r="C50" i="72"/>
  <c r="B50" i="72"/>
  <c r="E49" i="72"/>
  <c r="D49" i="72"/>
  <c r="C49" i="72"/>
  <c r="B49" i="72"/>
  <c r="E48" i="72"/>
  <c r="D48" i="72"/>
  <c r="C48" i="72"/>
  <c r="B48" i="72"/>
  <c r="E47" i="72"/>
  <c r="D47" i="72"/>
  <c r="C47" i="72"/>
  <c r="B47" i="72"/>
  <c r="E46" i="72"/>
  <c r="D46" i="72"/>
  <c r="C46" i="72"/>
  <c r="B46" i="72"/>
  <c r="E45" i="72"/>
  <c r="D45" i="72"/>
  <c r="C45" i="72"/>
  <c r="B45" i="72"/>
  <c r="E44" i="72"/>
  <c r="D44" i="72"/>
  <c r="C44" i="72"/>
  <c r="B44" i="72"/>
  <c r="E43" i="72"/>
  <c r="D43" i="72"/>
  <c r="C43" i="72"/>
  <c r="B43" i="72"/>
  <c r="E42" i="72"/>
  <c r="D42" i="72"/>
  <c r="C42" i="72"/>
  <c r="B42" i="72"/>
  <c r="E41" i="72"/>
  <c r="D41" i="72"/>
  <c r="C41" i="72"/>
  <c r="B41" i="72"/>
  <c r="E40" i="72"/>
  <c r="D40" i="72"/>
  <c r="C40" i="72"/>
  <c r="B40" i="72"/>
  <c r="E39" i="72"/>
  <c r="D39" i="72"/>
  <c r="C39" i="72"/>
  <c r="B39" i="72"/>
  <c r="E38" i="72"/>
  <c r="D38" i="72"/>
  <c r="C38" i="72"/>
  <c r="B38" i="72"/>
  <c r="E37" i="72"/>
  <c r="D37" i="72"/>
  <c r="C37" i="72"/>
  <c r="B37" i="72"/>
  <c r="E36" i="72"/>
  <c r="D36" i="72"/>
  <c r="C36" i="72"/>
  <c r="B36" i="72"/>
  <c r="E35" i="72"/>
  <c r="D35" i="72"/>
  <c r="C35" i="72"/>
  <c r="B35" i="72"/>
  <c r="C34" i="72"/>
  <c r="C33" i="72"/>
  <c r="C32" i="72"/>
  <c r="C31" i="72"/>
  <c r="C30" i="72"/>
  <c r="C29" i="72"/>
  <c r="C28" i="72"/>
  <c r="C27" i="72"/>
  <c r="C26" i="72"/>
  <c r="C25" i="72"/>
  <c r="C24" i="72"/>
  <c r="C23" i="72"/>
  <c r="C22" i="72"/>
  <c r="C21" i="72"/>
  <c r="C20" i="72"/>
  <c r="C19" i="72"/>
  <c r="C18" i="72"/>
  <c r="C17" i="72"/>
  <c r="C16" i="72"/>
  <c r="D15" i="72"/>
  <c r="C15" i="72"/>
  <c r="B15" i="72"/>
  <c r="B16" i="72" s="1"/>
  <c r="B17" i="72" s="1"/>
  <c r="B18" i="72" s="1"/>
  <c r="B19" i="72" s="1"/>
  <c r="B20" i="72" s="1"/>
  <c r="B21" i="72" s="1"/>
  <c r="B22" i="72" s="1"/>
  <c r="B23" i="72" s="1"/>
  <c r="B24" i="72" s="1"/>
  <c r="B25" i="72" s="1"/>
  <c r="B26" i="72" s="1"/>
  <c r="B27" i="72" s="1"/>
  <c r="B28" i="72" s="1"/>
  <c r="B29" i="72" s="1"/>
  <c r="B30" i="72" s="1"/>
  <c r="B31" i="72" s="1"/>
  <c r="B32" i="72" s="1"/>
  <c r="B33" i="72" s="1"/>
  <c r="B34" i="72" s="1"/>
  <c r="G5" i="72"/>
  <c r="A10" i="71"/>
  <c r="M9" i="71"/>
  <c r="K9" i="71"/>
  <c r="K8" i="71"/>
  <c r="A12" i="70"/>
  <c r="Q11" i="70"/>
  <c r="J11" i="70"/>
  <c r="S10" i="70"/>
  <c r="Q10" i="70"/>
  <c r="L10" i="70"/>
  <c r="L91" i="70" s="1"/>
  <c r="J10" i="70"/>
  <c r="E54" i="69"/>
  <c r="D54" i="69"/>
  <c r="C54" i="69"/>
  <c r="B54" i="69"/>
  <c r="E53" i="69"/>
  <c r="D53" i="69"/>
  <c r="C53" i="69"/>
  <c r="B53" i="69"/>
  <c r="E52" i="69"/>
  <c r="D52" i="69"/>
  <c r="C52" i="69"/>
  <c r="B52" i="69"/>
  <c r="E51" i="69"/>
  <c r="D51" i="69"/>
  <c r="C51" i="69"/>
  <c r="B51" i="69"/>
  <c r="E50" i="69"/>
  <c r="D50" i="69"/>
  <c r="C50" i="69"/>
  <c r="B50" i="69"/>
  <c r="E49" i="69"/>
  <c r="D49" i="69"/>
  <c r="C49" i="69"/>
  <c r="B49" i="69"/>
  <c r="E48" i="69"/>
  <c r="D48" i="69"/>
  <c r="C48" i="69"/>
  <c r="B48" i="69"/>
  <c r="E47" i="69"/>
  <c r="D47" i="69"/>
  <c r="C47" i="69"/>
  <c r="B47" i="69"/>
  <c r="E46" i="69"/>
  <c r="D46" i="69"/>
  <c r="C46" i="69"/>
  <c r="B46" i="69"/>
  <c r="E45" i="69"/>
  <c r="D45" i="69"/>
  <c r="C45" i="69"/>
  <c r="B45" i="69"/>
  <c r="E44" i="69"/>
  <c r="D44" i="69"/>
  <c r="C44" i="69"/>
  <c r="B44" i="69"/>
  <c r="E43" i="69"/>
  <c r="D43" i="69"/>
  <c r="C43" i="69"/>
  <c r="B43" i="69"/>
  <c r="E42" i="69"/>
  <c r="D42" i="69"/>
  <c r="C42" i="69"/>
  <c r="B42" i="69"/>
  <c r="E41" i="69"/>
  <c r="D41" i="69"/>
  <c r="C41" i="69"/>
  <c r="B41" i="69"/>
  <c r="E40" i="69"/>
  <c r="D40" i="69"/>
  <c r="C40" i="69"/>
  <c r="B40" i="69"/>
  <c r="E39" i="69"/>
  <c r="D39" i="69"/>
  <c r="C39" i="69"/>
  <c r="B39" i="69"/>
  <c r="E38" i="69"/>
  <c r="D38" i="69"/>
  <c r="C38" i="69"/>
  <c r="B38" i="69"/>
  <c r="E37" i="69"/>
  <c r="D37" i="69"/>
  <c r="C37" i="69"/>
  <c r="B37" i="69"/>
  <c r="E36" i="69"/>
  <c r="D36" i="69"/>
  <c r="C36" i="69"/>
  <c r="B36" i="69"/>
  <c r="E35" i="69"/>
  <c r="D35" i="69"/>
  <c r="C35" i="69"/>
  <c r="B35" i="69"/>
  <c r="C34" i="69"/>
  <c r="C33" i="69"/>
  <c r="C32" i="69"/>
  <c r="C31" i="69"/>
  <c r="C30" i="69"/>
  <c r="C29" i="69"/>
  <c r="C28" i="69"/>
  <c r="C27" i="69"/>
  <c r="C26" i="69"/>
  <c r="C25" i="69"/>
  <c r="C24" i="69"/>
  <c r="C23" i="69"/>
  <c r="C22" i="69"/>
  <c r="C21" i="69"/>
  <c r="C20" i="69"/>
  <c r="C19" i="69"/>
  <c r="C18" i="69"/>
  <c r="C17" i="69"/>
  <c r="C16" i="69"/>
  <c r="D15" i="69"/>
  <c r="C15" i="69"/>
  <c r="B15" i="69"/>
  <c r="B16" i="69" s="1"/>
  <c r="B17" i="69" s="1"/>
  <c r="B18" i="69" s="1"/>
  <c r="B19" i="69" s="1"/>
  <c r="B20" i="69" s="1"/>
  <c r="B21" i="69" s="1"/>
  <c r="B22" i="69" s="1"/>
  <c r="B23" i="69" s="1"/>
  <c r="B24" i="69" s="1"/>
  <c r="B25" i="69" s="1"/>
  <c r="B26" i="69" s="1"/>
  <c r="B27" i="69" s="1"/>
  <c r="B28" i="69" s="1"/>
  <c r="B29" i="69" s="1"/>
  <c r="B30" i="69" s="1"/>
  <c r="B31" i="69" s="1"/>
  <c r="B32" i="69" s="1"/>
  <c r="B33" i="69" s="1"/>
  <c r="B34" i="69" s="1"/>
  <c r="G5" i="69"/>
  <c r="E131" i="68"/>
  <c r="N126" i="68"/>
  <c r="L126" i="68" s="1"/>
  <c r="N116" i="68"/>
  <c r="N121" i="68" s="1"/>
  <c r="N114" i="68"/>
  <c r="N119" i="68" s="1"/>
  <c r="E109" i="68"/>
  <c r="E111" i="68" s="1"/>
  <c r="E107" i="68"/>
  <c r="B96" i="68"/>
  <c r="F96" i="68" s="1"/>
  <c r="D93" i="68"/>
  <c r="B93" i="68"/>
  <c r="F93" i="68" s="1"/>
  <c r="B90" i="68"/>
  <c r="F90" i="68" s="1"/>
  <c r="J90" i="68" s="1"/>
  <c r="M91" i="68" s="1"/>
  <c r="B87" i="68"/>
  <c r="F87" i="68" s="1"/>
  <c r="J87" i="68" s="1"/>
  <c r="M88" i="68" s="1"/>
  <c r="H83" i="68"/>
  <c r="F83" i="68"/>
  <c r="H82" i="68"/>
  <c r="F82" i="68"/>
  <c r="F78" i="68"/>
  <c r="J78" i="68" s="1"/>
  <c r="L78" i="68" s="1"/>
  <c r="H76" i="68"/>
  <c r="F76" i="68"/>
  <c r="D76" i="68"/>
  <c r="F73" i="68"/>
  <c r="J73" i="68" s="1"/>
  <c r="L73" i="68" s="1"/>
  <c r="F71" i="68"/>
  <c r="J71" i="68" s="1"/>
  <c r="L71" i="68" s="1"/>
  <c r="H70" i="68"/>
  <c r="F70" i="68"/>
  <c r="D70" i="68"/>
  <c r="H69" i="68"/>
  <c r="F69" i="68"/>
  <c r="F66" i="68"/>
  <c r="J66" i="68" s="1"/>
  <c r="L66" i="68" s="1"/>
  <c r="F65" i="68"/>
  <c r="J65" i="68" s="1"/>
  <c r="L65" i="68" s="1"/>
  <c r="H64" i="68"/>
  <c r="F64" i="68"/>
  <c r="D64" i="68"/>
  <c r="H61" i="68"/>
  <c r="F61" i="68"/>
  <c r="H60" i="68"/>
  <c r="F60" i="68"/>
  <c r="F56" i="68"/>
  <c r="J56" i="68" s="1"/>
  <c r="L56" i="68" s="1"/>
  <c r="F55" i="68"/>
  <c r="B53" i="68"/>
  <c r="F53" i="68" s="1"/>
  <c r="H52" i="68"/>
  <c r="H55" i="68" s="1"/>
  <c r="B52" i="68"/>
  <c r="F52" i="68" s="1"/>
  <c r="F48" i="68"/>
  <c r="J48" i="68" s="1"/>
  <c r="L48" i="68" s="1"/>
  <c r="F47" i="68"/>
  <c r="J47" i="68" s="1"/>
  <c r="L47" i="68" s="1"/>
  <c r="F46" i="68"/>
  <c r="J46" i="68" s="1"/>
  <c r="L46" i="68" s="1"/>
  <c r="K40" i="68"/>
  <c r="B40" i="68"/>
  <c r="F40" i="68" s="1"/>
  <c r="J40" i="68" s="1"/>
  <c r="K39" i="68"/>
  <c r="F39" i="68"/>
  <c r="J39" i="68" s="1"/>
  <c r="H35" i="68"/>
  <c r="F35" i="68"/>
  <c r="K34" i="68"/>
  <c r="F34" i="68"/>
  <c r="J34" i="68" s="1"/>
  <c r="F33" i="68"/>
  <c r="J33" i="68" s="1"/>
  <c r="L33" i="68" s="1"/>
  <c r="F30" i="68"/>
  <c r="J30" i="68" s="1"/>
  <c r="L30" i="68" s="1"/>
  <c r="F29" i="68"/>
  <c r="J29" i="68" s="1"/>
  <c r="L29" i="68" s="1"/>
  <c r="B27" i="68"/>
  <c r="F27" i="68" s="1"/>
  <c r="J27" i="68" s="1"/>
  <c r="L27" i="68" s="1"/>
  <c r="F23" i="68"/>
  <c r="J23" i="68" s="1"/>
  <c r="L23" i="68" s="1"/>
  <c r="M25" i="68" s="1"/>
  <c r="B20" i="68"/>
  <c r="F20" i="68" s="1"/>
  <c r="B17" i="68"/>
  <c r="F17" i="68" s="1"/>
  <c r="D14" i="68"/>
  <c r="D17" i="68" s="1"/>
  <c r="B14" i="68"/>
  <c r="F14" i="68" s="1"/>
  <c r="F11" i="68"/>
  <c r="J11" i="68" s="1"/>
  <c r="M12" i="68" s="1"/>
  <c r="J55" i="68" l="1"/>
  <c r="L55" i="68" s="1"/>
  <c r="J35" i="68"/>
  <c r="L35" i="68" s="1"/>
  <c r="L40" i="68"/>
  <c r="E116" i="68"/>
  <c r="E121" i="68" s="1"/>
  <c r="E125" i="68" s="1"/>
  <c r="L39" i="68"/>
  <c r="J60" i="68"/>
  <c r="L60" i="68" s="1"/>
  <c r="C56" i="72"/>
  <c r="J64" i="68"/>
  <c r="L64" i="68" s="1"/>
  <c r="M67" i="68" s="1"/>
  <c r="L34" i="68"/>
  <c r="A13" i="70"/>
  <c r="A14" i="70" s="1"/>
  <c r="B12" i="70"/>
  <c r="D16" i="72"/>
  <c r="E16" i="72" s="1"/>
  <c r="D23" i="72"/>
  <c r="E23" i="72" s="1"/>
  <c r="D27" i="72"/>
  <c r="E27" i="72" s="1"/>
  <c r="B10" i="71"/>
  <c r="K10" i="71" s="1"/>
  <c r="D22" i="72"/>
  <c r="E22" i="72" s="1"/>
  <c r="D29" i="72"/>
  <c r="E29" i="72" s="1"/>
  <c r="D33" i="72"/>
  <c r="E33" i="72" s="1"/>
  <c r="J83" i="68"/>
  <c r="E15" i="69"/>
  <c r="E15" i="72"/>
  <c r="D17" i="72"/>
  <c r="E17" i="72" s="1"/>
  <c r="D19" i="72"/>
  <c r="E19" i="72" s="1"/>
  <c r="D24" i="72"/>
  <c r="E24" i="72" s="1"/>
  <c r="D26" i="72"/>
  <c r="E26" i="72" s="1"/>
  <c r="D18" i="72"/>
  <c r="E18" i="72" s="1"/>
  <c r="D25" i="72"/>
  <c r="E25" i="72" s="1"/>
  <c r="J61" i="68"/>
  <c r="L61" i="68" s="1"/>
  <c r="C56" i="69"/>
  <c r="D20" i="72"/>
  <c r="E20" i="72" s="1"/>
  <c r="D31" i="72"/>
  <c r="E31" i="72" s="1"/>
  <c r="J14" i="68"/>
  <c r="M15" i="68" s="1"/>
  <c r="D21" i="72"/>
  <c r="E21" i="72" s="1"/>
  <c r="D28" i="72"/>
  <c r="E28" i="72" s="1"/>
  <c r="D30" i="72"/>
  <c r="E30" i="72" s="1"/>
  <c r="D32" i="72"/>
  <c r="E32" i="72" s="1"/>
  <c r="D34" i="72"/>
  <c r="E34" i="72" s="1"/>
  <c r="J69" i="68"/>
  <c r="L69" i="68" s="1"/>
  <c r="D34" i="69"/>
  <c r="E34" i="69" s="1"/>
  <c r="J70" i="68"/>
  <c r="L70" i="68" s="1"/>
  <c r="J76" i="68"/>
  <c r="L76" i="68" s="1"/>
  <c r="M80" i="68" s="1"/>
  <c r="M31" i="68"/>
  <c r="J17" i="68"/>
  <c r="M18" i="68" s="1"/>
  <c r="D20" i="68"/>
  <c r="J20" i="68" s="1"/>
  <c r="M21" i="68" s="1"/>
  <c r="U11" i="70"/>
  <c r="U12" i="70" s="1"/>
  <c r="R10" i="70"/>
  <c r="D11" i="70" s="1"/>
  <c r="E114" i="68"/>
  <c r="E119" i="68" s="1"/>
  <c r="E126" i="68"/>
  <c r="D126" i="68" s="1"/>
  <c r="J52" i="68"/>
  <c r="L52" i="68" s="1"/>
  <c r="H53" i="68"/>
  <c r="J53" i="68" s="1"/>
  <c r="L53" i="68" s="1"/>
  <c r="B76" i="68"/>
  <c r="N125" i="68"/>
  <c r="J82" i="68"/>
  <c r="L82" i="68" s="1"/>
  <c r="M85" i="68" s="1"/>
  <c r="D96" i="68"/>
  <c r="J96" i="68" s="1"/>
  <c r="M97" i="68" s="1"/>
  <c r="J93" i="68"/>
  <c r="M94" i="68" s="1"/>
  <c r="E112" i="68"/>
  <c r="E132" i="68" s="1"/>
  <c r="E134" i="68" s="1"/>
  <c r="D16" i="69"/>
  <c r="E16" i="69" s="1"/>
  <c r="D17" i="69"/>
  <c r="E17" i="69" s="1"/>
  <c r="D18" i="69"/>
  <c r="E18" i="69" s="1"/>
  <c r="D19" i="69"/>
  <c r="E19" i="69" s="1"/>
  <c r="D20" i="69"/>
  <c r="E20" i="69" s="1"/>
  <c r="D21" i="69"/>
  <c r="E21" i="69" s="1"/>
  <c r="D22" i="69"/>
  <c r="E22" i="69" s="1"/>
  <c r="D23" i="69"/>
  <c r="E23" i="69" s="1"/>
  <c r="D24" i="69"/>
  <c r="E24" i="69" s="1"/>
  <c r="D25" i="69"/>
  <c r="E25" i="69" s="1"/>
  <c r="D26" i="69"/>
  <c r="E26" i="69" s="1"/>
  <c r="D27" i="69"/>
  <c r="E27" i="69" s="1"/>
  <c r="D28" i="69"/>
  <c r="E28" i="69" s="1"/>
  <c r="D29" i="69"/>
  <c r="E29" i="69" s="1"/>
  <c r="D30" i="69"/>
  <c r="E30" i="69" s="1"/>
  <c r="D31" i="69"/>
  <c r="E31" i="69" s="1"/>
  <c r="D32" i="69"/>
  <c r="E32" i="69" s="1"/>
  <c r="D33" i="69"/>
  <c r="E33" i="69" s="1"/>
  <c r="O10" i="71"/>
  <c r="O11" i="71" s="1"/>
  <c r="L9" i="71"/>
  <c r="A11" i="71"/>
  <c r="M37" i="68" l="1"/>
  <c r="M62" i="68"/>
  <c r="M50" i="68"/>
  <c r="B13" i="70"/>
  <c r="B14" i="70" s="1"/>
  <c r="Q14" i="70" s="1"/>
  <c r="E56" i="72"/>
  <c r="D56" i="72"/>
  <c r="T11" i="70"/>
  <c r="T12" i="70" s="1"/>
  <c r="S12" i="70" s="1"/>
  <c r="R12" i="70" s="1"/>
  <c r="Q12" i="70"/>
  <c r="B11" i="71"/>
  <c r="K11" i="71" s="1"/>
  <c r="M74" i="68"/>
  <c r="E56" i="69"/>
  <c r="J136" i="68"/>
  <c r="N10" i="71"/>
  <c r="D9" i="71"/>
  <c r="A12" i="71"/>
  <c r="U13" i="70"/>
  <c r="U14" i="70" s="1"/>
  <c r="A15" i="70"/>
  <c r="O12" i="71"/>
  <c r="O13" i="71" s="1"/>
  <c r="D56" i="69"/>
  <c r="M58" i="68"/>
  <c r="J12" i="70"/>
  <c r="J13" i="70"/>
  <c r="B15" i="70" l="1"/>
  <c r="Q15" i="70" s="1"/>
  <c r="Q13" i="70"/>
  <c r="B12" i="71"/>
  <c r="K12" i="71" s="1"/>
  <c r="D13" i="70"/>
  <c r="J15" i="70" s="1"/>
  <c r="T13" i="70"/>
  <c r="T14" i="70" s="1"/>
  <c r="N11" i="71"/>
  <c r="A16" i="70"/>
  <c r="U15" i="70"/>
  <c r="U16" i="70" s="1"/>
  <c r="O14" i="71"/>
  <c r="A13" i="71"/>
  <c r="B16" i="70" l="1"/>
  <c r="Q16" i="70" s="1"/>
  <c r="B13" i="71"/>
  <c r="K13" i="71" s="1"/>
  <c r="U17" i="70"/>
  <c r="U18" i="70" s="1"/>
  <c r="O15" i="71"/>
  <c r="S14" i="70"/>
  <c r="R14" i="70" s="1"/>
  <c r="D15" i="70" s="1"/>
  <c r="J16" i="70" s="1"/>
  <c r="A14" i="71"/>
  <c r="A17" i="70"/>
  <c r="M11" i="71"/>
  <c r="J14" i="70"/>
  <c r="B17" i="70" l="1"/>
  <c r="Q17" i="70" s="1"/>
  <c r="B14" i="71"/>
  <c r="K14" i="71" s="1"/>
  <c r="T15" i="70"/>
  <c r="T16" i="70" s="1"/>
  <c r="S16" i="70" s="1"/>
  <c r="R16" i="70" s="1"/>
  <c r="D17" i="70" s="1"/>
  <c r="L11" i="71"/>
  <c r="A18" i="70"/>
  <c r="J17" i="70"/>
  <c r="O16" i="71"/>
  <c r="A15" i="71"/>
  <c r="U19" i="70"/>
  <c r="U20" i="70" s="1"/>
  <c r="B15" i="71" l="1"/>
  <c r="K15" i="71" s="1"/>
  <c r="B18" i="70"/>
  <c r="Q18" i="70" s="1"/>
  <c r="T17" i="70"/>
  <c r="T18" i="70" s="1"/>
  <c r="S18" i="70" s="1"/>
  <c r="R18" i="70" s="1"/>
  <c r="T19" i="70" s="1"/>
  <c r="T20" i="70" s="1"/>
  <c r="J18" i="70"/>
  <c r="A19" i="70"/>
  <c r="A16" i="71"/>
  <c r="O17" i="71"/>
  <c r="U21" i="70"/>
  <c r="U22" i="70" s="1"/>
  <c r="D11" i="71"/>
  <c r="N12" i="71"/>
  <c r="N13" i="71" s="1"/>
  <c r="B16" i="71" l="1"/>
  <c r="K16" i="71" s="1"/>
  <c r="B19" i="70"/>
  <c r="Q19" i="70" s="1"/>
  <c r="S20" i="70"/>
  <c r="R20" i="70" s="1"/>
  <c r="T21" i="70" s="1"/>
  <c r="T22" i="70" s="1"/>
  <c r="M13" i="71"/>
  <c r="U23" i="70"/>
  <c r="U24" i="70" s="1"/>
  <c r="O18" i="71"/>
  <c r="A17" i="71"/>
  <c r="D19" i="70"/>
  <c r="A20" i="70"/>
  <c r="J19" i="70"/>
  <c r="B20" i="70" l="1"/>
  <c r="Q20" i="70" s="1"/>
  <c r="B17" i="71"/>
  <c r="K17" i="71" s="1"/>
  <c r="A18" i="71"/>
  <c r="U25" i="70"/>
  <c r="U26" i="70" s="1"/>
  <c r="O19" i="71"/>
  <c r="L13" i="71"/>
  <c r="J20" i="70"/>
  <c r="A21" i="70"/>
  <c r="S22" i="70"/>
  <c r="R22" i="70" s="1"/>
  <c r="T23" i="70" s="1"/>
  <c r="T24" i="70" s="1"/>
  <c r="B21" i="70" l="1"/>
  <c r="Q21" i="70" s="1"/>
  <c r="B18" i="71"/>
  <c r="K18" i="71" s="1"/>
  <c r="S24" i="70"/>
  <c r="R24" i="70" s="1"/>
  <c r="T25" i="70" s="1"/>
  <c r="T26" i="70" s="1"/>
  <c r="D21" i="70"/>
  <c r="A22" i="70"/>
  <c r="J21" i="70"/>
  <c r="D13" i="71"/>
  <c r="N14" i="71"/>
  <c r="N15" i="71" s="1"/>
  <c r="U27" i="70"/>
  <c r="U28" i="70" s="1"/>
  <c r="A19" i="71"/>
  <c r="O20" i="71"/>
  <c r="O21" i="71" s="1"/>
  <c r="B22" i="70" l="1"/>
  <c r="Q22" i="70" s="1"/>
  <c r="B19" i="71"/>
  <c r="K19" i="71" s="1"/>
  <c r="S26" i="70"/>
  <c r="R26" i="70" s="1"/>
  <c r="T27" i="70" s="1"/>
  <c r="T28" i="70" s="1"/>
  <c r="A20" i="71"/>
  <c r="U29" i="70"/>
  <c r="U30" i="70" s="1"/>
  <c r="O22" i="71"/>
  <c r="O23" i="71" s="1"/>
  <c r="M15" i="71"/>
  <c r="J22" i="70"/>
  <c r="A23" i="70"/>
  <c r="B23" i="70" l="1"/>
  <c r="Q23" i="70" s="1"/>
  <c r="B20" i="71"/>
  <c r="K20" i="71" s="1"/>
  <c r="S28" i="70"/>
  <c r="R28" i="70" s="1"/>
  <c r="T29" i="70" s="1"/>
  <c r="T30" i="70" s="1"/>
  <c r="D23" i="70"/>
  <c r="A24" i="70"/>
  <c r="J23" i="70"/>
  <c r="O24" i="71"/>
  <c r="O25" i="71" s="1"/>
  <c r="U31" i="70"/>
  <c r="U32" i="70" s="1"/>
  <c r="L15" i="71"/>
  <c r="A21" i="71"/>
  <c r="B24" i="70" l="1"/>
  <c r="Q24" i="70" s="1"/>
  <c r="B21" i="71"/>
  <c r="K21" i="71" s="1"/>
  <c r="O26" i="71"/>
  <c r="O27" i="71" s="1"/>
  <c r="D15" i="71"/>
  <c r="N16" i="71"/>
  <c r="N17" i="71" s="1"/>
  <c r="A22" i="71"/>
  <c r="U33" i="70"/>
  <c r="U34" i="70" s="1"/>
  <c r="J24" i="70"/>
  <c r="A25" i="70"/>
  <c r="S30" i="70"/>
  <c r="R30" i="70" s="1"/>
  <c r="T31" i="70" s="1"/>
  <c r="T32" i="70" s="1"/>
  <c r="B22" i="71" l="1"/>
  <c r="K22" i="71" s="1"/>
  <c r="B25" i="70"/>
  <c r="Q25" i="70" s="1"/>
  <c r="S32" i="70"/>
  <c r="R32" i="70" s="1"/>
  <c r="T33" i="70" s="1"/>
  <c r="T34" i="70" s="1"/>
  <c r="U35" i="70"/>
  <c r="U36" i="70" s="1"/>
  <c r="A23" i="71"/>
  <c r="M17" i="71"/>
  <c r="L17" i="71" s="1"/>
  <c r="N18" i="71" s="1"/>
  <c r="N19" i="71" s="1"/>
  <c r="O28" i="71"/>
  <c r="O29" i="71" s="1"/>
  <c r="J25" i="70"/>
  <c r="A26" i="70"/>
  <c r="D25" i="70"/>
  <c r="B26" i="70" l="1"/>
  <c r="Q26" i="70" s="1"/>
  <c r="B23" i="71"/>
  <c r="K23" i="71" s="1"/>
  <c r="S34" i="70"/>
  <c r="R34" i="70" s="1"/>
  <c r="T35" i="70" s="1"/>
  <c r="T36" i="70" s="1"/>
  <c r="M19" i="71"/>
  <c r="L19" i="71" s="1"/>
  <c r="D19" i="71" s="1"/>
  <c r="O30" i="71"/>
  <c r="O31" i="71" s="1"/>
  <c r="U37" i="70"/>
  <c r="U38" i="70" s="1"/>
  <c r="A27" i="70"/>
  <c r="J26" i="70"/>
  <c r="D17" i="71"/>
  <c r="A24" i="71"/>
  <c r="B27" i="70" l="1"/>
  <c r="Q27" i="70" s="1"/>
  <c r="B24" i="71"/>
  <c r="K24" i="71" s="1"/>
  <c r="N20" i="71"/>
  <c r="N21" i="71" s="1"/>
  <c r="M21" i="71" s="1"/>
  <c r="L21" i="71" s="1"/>
  <c r="D21" i="71" s="1"/>
  <c r="S36" i="70"/>
  <c r="R36" i="70" s="1"/>
  <c r="T37" i="70" s="1"/>
  <c r="T38" i="70" s="1"/>
  <c r="A28" i="70"/>
  <c r="D27" i="70"/>
  <c r="J27" i="70"/>
  <c r="A25" i="71"/>
  <c r="U39" i="70"/>
  <c r="U40" i="70" s="1"/>
  <c r="O32" i="71"/>
  <c r="O33" i="71" s="1"/>
  <c r="B28" i="70" l="1"/>
  <c r="Q28" i="70" s="1"/>
  <c r="B25" i="71"/>
  <c r="K25" i="71" s="1"/>
  <c r="S38" i="70"/>
  <c r="R38" i="70" s="1"/>
  <c r="T39" i="70" s="1"/>
  <c r="T40" i="70" s="1"/>
  <c r="U41" i="70"/>
  <c r="U42" i="70" s="1"/>
  <c r="O34" i="71"/>
  <c r="O35" i="71" s="1"/>
  <c r="N22" i="71"/>
  <c r="N23" i="71" s="1"/>
  <c r="A26" i="71"/>
  <c r="J28" i="70"/>
  <c r="A29" i="70"/>
  <c r="B29" i="70" l="1"/>
  <c r="Q29" i="70" s="1"/>
  <c r="B26" i="71"/>
  <c r="K26" i="71" s="1"/>
  <c r="D29" i="70"/>
  <c r="J29" i="70"/>
  <c r="A30" i="70"/>
  <c r="U43" i="70"/>
  <c r="U44" i="70" s="1"/>
  <c r="A27" i="71"/>
  <c r="M23" i="71"/>
  <c r="L23" i="71" s="1"/>
  <c r="D23" i="71" s="1"/>
  <c r="O36" i="71"/>
  <c r="O37" i="71" s="1"/>
  <c r="S40" i="70"/>
  <c r="R40" i="70" s="1"/>
  <c r="T41" i="70" s="1"/>
  <c r="T42" i="70" s="1"/>
  <c r="B30" i="70" l="1"/>
  <c r="Q30" i="70" s="1"/>
  <c r="B27" i="71"/>
  <c r="K27" i="71" s="1"/>
  <c r="J30" i="70"/>
  <c r="A31" i="70"/>
  <c r="U45" i="70"/>
  <c r="U46" i="70" s="1"/>
  <c r="S42" i="70"/>
  <c r="R42" i="70" s="1"/>
  <c r="T43" i="70" s="1"/>
  <c r="T44" i="70" s="1"/>
  <c r="N24" i="71"/>
  <c r="N25" i="71" s="1"/>
  <c r="A28" i="71"/>
  <c r="O38" i="71"/>
  <c r="O39" i="71" s="1"/>
  <c r="B31" i="70" l="1"/>
  <c r="Q31" i="70" s="1"/>
  <c r="B28" i="71"/>
  <c r="K28" i="71" s="1"/>
  <c r="S44" i="70"/>
  <c r="R44" i="70" s="1"/>
  <c r="T45" i="70" s="1"/>
  <c r="T46" i="70" s="1"/>
  <c r="A29" i="71"/>
  <c r="O40" i="71"/>
  <c r="O41" i="71" s="1"/>
  <c r="M25" i="71"/>
  <c r="L25" i="71" s="1"/>
  <c r="D25" i="71" s="1"/>
  <c r="J31" i="70"/>
  <c r="D31" i="70"/>
  <c r="A32" i="70"/>
  <c r="U47" i="70"/>
  <c r="U48" i="70" s="1"/>
  <c r="B32" i="70" l="1"/>
  <c r="Q32" i="70" s="1"/>
  <c r="B29" i="71"/>
  <c r="K29" i="71" s="1"/>
  <c r="O42" i="71"/>
  <c r="O43" i="71" s="1"/>
  <c r="A30" i="71"/>
  <c r="J32" i="70"/>
  <c r="A33" i="70"/>
  <c r="N26" i="71"/>
  <c r="N27" i="71" s="1"/>
  <c r="U49" i="70"/>
  <c r="U50" i="70" s="1"/>
  <c r="S46" i="70"/>
  <c r="R46" i="70" s="1"/>
  <c r="T47" i="70" s="1"/>
  <c r="T48" i="70" s="1"/>
  <c r="B33" i="70" l="1"/>
  <c r="Q33" i="70" s="1"/>
  <c r="B30" i="71"/>
  <c r="K30" i="71" s="1"/>
  <c r="S48" i="70"/>
  <c r="R48" i="70" s="1"/>
  <c r="T49" i="70" s="1"/>
  <c r="T50" i="70" s="1"/>
  <c r="U51" i="70"/>
  <c r="U52" i="70" s="1"/>
  <c r="J33" i="70"/>
  <c r="A34" i="70"/>
  <c r="D33" i="70"/>
  <c r="M27" i="71"/>
  <c r="L27" i="71" s="1"/>
  <c r="D27" i="71" s="1"/>
  <c r="A31" i="71"/>
  <c r="O44" i="71"/>
  <c r="O45" i="71" s="1"/>
  <c r="B34" i="70" l="1"/>
  <c r="Q34" i="70" s="1"/>
  <c r="B31" i="71"/>
  <c r="K31" i="71" s="1"/>
  <c r="S50" i="70"/>
  <c r="R50" i="70" s="1"/>
  <c r="T51" i="70" s="1"/>
  <c r="T52" i="70" s="1"/>
  <c r="A35" i="70"/>
  <c r="J34" i="70"/>
  <c r="U53" i="70"/>
  <c r="U54" i="70" s="1"/>
  <c r="O46" i="71"/>
  <c r="O47" i="71" s="1"/>
  <c r="A32" i="71"/>
  <c r="N28" i="71"/>
  <c r="N29" i="71" s="1"/>
  <c r="B35" i="70" l="1"/>
  <c r="Q35" i="70" s="1"/>
  <c r="B32" i="71"/>
  <c r="K32" i="71" s="1"/>
  <c r="A33" i="71"/>
  <c r="O48" i="71"/>
  <c r="O49" i="71" s="1"/>
  <c r="A36" i="70"/>
  <c r="D35" i="70"/>
  <c r="J35" i="70"/>
  <c r="M29" i="71"/>
  <c r="L29" i="71" s="1"/>
  <c r="D29" i="71" s="1"/>
  <c r="U55" i="70"/>
  <c r="U56" i="70" s="1"/>
  <c r="S52" i="70"/>
  <c r="R52" i="70" s="1"/>
  <c r="T53" i="70" s="1"/>
  <c r="T54" i="70" s="1"/>
  <c r="B36" i="70" l="1"/>
  <c r="Q36" i="70" s="1"/>
  <c r="B33" i="71"/>
  <c r="K33" i="71" s="1"/>
  <c r="N30" i="71"/>
  <c r="N31" i="71" s="1"/>
  <c r="S54" i="70"/>
  <c r="R54" i="70" s="1"/>
  <c r="T55" i="70" s="1"/>
  <c r="T56" i="70" s="1"/>
  <c r="U57" i="70"/>
  <c r="U58" i="70" s="1"/>
  <c r="A37" i="70"/>
  <c r="J36" i="70"/>
  <c r="O50" i="71"/>
  <c r="O51" i="71" s="1"/>
  <c r="A34" i="71"/>
  <c r="B37" i="70" l="1"/>
  <c r="Q37" i="70" s="1"/>
  <c r="B34" i="71"/>
  <c r="K34" i="71" s="1"/>
  <c r="M31" i="71"/>
  <c r="L31" i="71" s="1"/>
  <c r="D31" i="71" s="1"/>
  <c r="S56" i="70"/>
  <c r="R56" i="70" s="1"/>
  <c r="T57" i="70" s="1"/>
  <c r="T58" i="70" s="1"/>
  <c r="A35" i="71"/>
  <c r="O52" i="71"/>
  <c r="O53" i="71" s="1"/>
  <c r="D37" i="70"/>
  <c r="A38" i="70"/>
  <c r="J37" i="70"/>
  <c r="U59" i="70"/>
  <c r="U60" i="70" s="1"/>
  <c r="B38" i="70" l="1"/>
  <c r="Q38" i="70" s="1"/>
  <c r="B35" i="71"/>
  <c r="K35" i="71" s="1"/>
  <c r="N32" i="71"/>
  <c r="N33" i="71" s="1"/>
  <c r="M33" i="71" s="1"/>
  <c r="L33" i="71" s="1"/>
  <c r="D33" i="71" s="1"/>
  <c r="S58" i="70"/>
  <c r="R58" i="70" s="1"/>
  <c r="T59" i="70" s="1"/>
  <c r="T60" i="70" s="1"/>
  <c r="J38" i="70"/>
  <c r="A39" i="70"/>
  <c r="U61" i="70"/>
  <c r="U62" i="70" s="1"/>
  <c r="O54" i="71"/>
  <c r="O55" i="71" s="1"/>
  <c r="A36" i="71"/>
  <c r="B39" i="70" l="1"/>
  <c r="Q39" i="70" s="1"/>
  <c r="B36" i="71"/>
  <c r="K36" i="71" s="1"/>
  <c r="N34" i="71"/>
  <c r="N35" i="71" s="1"/>
  <c r="M35" i="71" s="1"/>
  <c r="L35" i="71" s="1"/>
  <c r="D35" i="71" s="1"/>
  <c r="S60" i="70"/>
  <c r="R60" i="70" s="1"/>
  <c r="T61" i="70" s="1"/>
  <c r="T62" i="70" s="1"/>
  <c r="A37" i="71"/>
  <c r="U63" i="70"/>
  <c r="U64" i="70" s="1"/>
  <c r="O56" i="71"/>
  <c r="O57" i="71" s="1"/>
  <c r="J39" i="70"/>
  <c r="D39" i="70"/>
  <c r="A40" i="70"/>
  <c r="B40" i="70" l="1"/>
  <c r="Q40" i="70" s="1"/>
  <c r="B37" i="71"/>
  <c r="K37" i="71" s="1"/>
  <c r="N36" i="71"/>
  <c r="N37" i="71" s="1"/>
  <c r="M37" i="71" s="1"/>
  <c r="L37" i="71" s="1"/>
  <c r="N38" i="71" s="1"/>
  <c r="N39" i="71" s="1"/>
  <c r="M39" i="71" s="1"/>
  <c r="L39" i="71" s="1"/>
  <c r="N40" i="71" s="1"/>
  <c r="N41" i="71" s="1"/>
  <c r="S62" i="70"/>
  <c r="R62" i="70" s="1"/>
  <c r="T63" i="70" s="1"/>
  <c r="T64" i="70" s="1"/>
  <c r="O58" i="71"/>
  <c r="O59" i="71" s="1"/>
  <c r="U65" i="70"/>
  <c r="U66" i="70" s="1"/>
  <c r="A38" i="71"/>
  <c r="J40" i="70"/>
  <c r="A41" i="70"/>
  <c r="B41" i="70" l="1"/>
  <c r="Q41" i="70" s="1"/>
  <c r="B38" i="71"/>
  <c r="K38" i="71" s="1"/>
  <c r="D37" i="71"/>
  <c r="M41" i="71"/>
  <c r="L41" i="71" s="1"/>
  <c r="N42" i="71" s="1"/>
  <c r="N43" i="71" s="1"/>
  <c r="S64" i="70"/>
  <c r="R64" i="70" s="1"/>
  <c r="T65" i="70" s="1"/>
  <c r="T66" i="70" s="1"/>
  <c r="O60" i="71"/>
  <c r="O61" i="71" s="1"/>
  <c r="J41" i="70"/>
  <c r="A42" i="70"/>
  <c r="D41" i="70"/>
  <c r="A39" i="71"/>
  <c r="U67" i="70"/>
  <c r="U68" i="70" s="1"/>
  <c r="B42" i="70" l="1"/>
  <c r="Q42" i="70" s="1"/>
  <c r="B39" i="71"/>
  <c r="K39" i="71" s="1"/>
  <c r="M43" i="71"/>
  <c r="L43" i="71" s="1"/>
  <c r="N44" i="71" s="1"/>
  <c r="N45" i="71" s="1"/>
  <c r="A43" i="70"/>
  <c r="J42" i="70"/>
  <c r="O62" i="71"/>
  <c r="O63" i="71" s="1"/>
  <c r="S66" i="70"/>
  <c r="R66" i="70" s="1"/>
  <c r="T67" i="70" s="1"/>
  <c r="T68" i="70" s="1"/>
  <c r="U69" i="70"/>
  <c r="U70" i="70" s="1"/>
  <c r="D39" i="71"/>
  <c r="A40" i="71"/>
  <c r="B43" i="70" l="1"/>
  <c r="Q43" i="70" s="1"/>
  <c r="B40" i="71"/>
  <c r="K40" i="71" s="1"/>
  <c r="S68" i="70"/>
  <c r="R68" i="70" s="1"/>
  <c r="T69" i="70" s="1"/>
  <c r="T70" i="70" s="1"/>
  <c r="M45" i="71"/>
  <c r="L45" i="71" s="1"/>
  <c r="N46" i="71" s="1"/>
  <c r="N47" i="71" s="1"/>
  <c r="U71" i="70"/>
  <c r="U72" i="70" s="1"/>
  <c r="O64" i="71"/>
  <c r="O65" i="71" s="1"/>
  <c r="A41" i="71"/>
  <c r="A44" i="70"/>
  <c r="D43" i="70"/>
  <c r="J43" i="70"/>
  <c r="B44" i="70" l="1"/>
  <c r="Q44" i="70" s="1"/>
  <c r="B41" i="71"/>
  <c r="K41" i="71" s="1"/>
  <c r="M47" i="71"/>
  <c r="L47" i="71" s="1"/>
  <c r="N48" i="71" s="1"/>
  <c r="N49" i="71" s="1"/>
  <c r="S70" i="70"/>
  <c r="R70" i="70" s="1"/>
  <c r="T71" i="70" s="1"/>
  <c r="T72" i="70" s="1"/>
  <c r="D41" i="71"/>
  <c r="A42" i="71"/>
  <c r="U73" i="70"/>
  <c r="U74" i="70" s="1"/>
  <c r="J44" i="70"/>
  <c r="A45" i="70"/>
  <c r="O66" i="71"/>
  <c r="O67" i="71" s="1"/>
  <c r="B45" i="70" l="1"/>
  <c r="Q45" i="70" s="1"/>
  <c r="B42" i="71"/>
  <c r="K42" i="71" s="1"/>
  <c r="S72" i="70"/>
  <c r="R72" i="70" s="1"/>
  <c r="T73" i="70" s="1"/>
  <c r="T74" i="70" s="1"/>
  <c r="M49" i="71"/>
  <c r="L49" i="71" s="1"/>
  <c r="N50" i="71" s="1"/>
  <c r="N51" i="71" s="1"/>
  <c r="D45" i="70"/>
  <c r="J45" i="70"/>
  <c r="A46" i="70"/>
  <c r="O68" i="71"/>
  <c r="O69" i="71" s="1"/>
  <c r="U75" i="70"/>
  <c r="U76" i="70" s="1"/>
  <c r="A43" i="71"/>
  <c r="B46" i="70" l="1"/>
  <c r="Q46" i="70" s="1"/>
  <c r="B43" i="71"/>
  <c r="K43" i="71" s="1"/>
  <c r="M51" i="71"/>
  <c r="L51" i="71" s="1"/>
  <c r="N52" i="71" s="1"/>
  <c r="N53" i="71" s="1"/>
  <c r="D43" i="71"/>
  <c r="A44" i="71"/>
  <c r="U77" i="70"/>
  <c r="U78" i="70" s="1"/>
  <c r="J46" i="70"/>
  <c r="A47" i="70"/>
  <c r="O70" i="71"/>
  <c r="O71" i="71" s="1"/>
  <c r="S74" i="70"/>
  <c r="R74" i="70" s="1"/>
  <c r="T75" i="70" s="1"/>
  <c r="T76" i="70" s="1"/>
  <c r="B47" i="70" l="1"/>
  <c r="Q47" i="70" s="1"/>
  <c r="B44" i="71"/>
  <c r="K44" i="71" s="1"/>
  <c r="S76" i="70"/>
  <c r="R76" i="70" s="1"/>
  <c r="T77" i="70" s="1"/>
  <c r="T78" i="70" s="1"/>
  <c r="M53" i="71"/>
  <c r="L53" i="71" s="1"/>
  <c r="N54" i="71" s="1"/>
  <c r="N55" i="71" s="1"/>
  <c r="A45" i="71"/>
  <c r="J47" i="70"/>
  <c r="D47" i="70"/>
  <c r="A48" i="70"/>
  <c r="U79" i="70"/>
  <c r="U80" i="70" s="1"/>
  <c r="O72" i="71"/>
  <c r="O73" i="71" s="1"/>
  <c r="B48" i="70" l="1"/>
  <c r="Q48" i="70" s="1"/>
  <c r="B45" i="71"/>
  <c r="K45" i="71" s="1"/>
  <c r="M55" i="71"/>
  <c r="L55" i="71" s="1"/>
  <c r="N56" i="71" s="1"/>
  <c r="N57" i="71" s="1"/>
  <c r="U81" i="70"/>
  <c r="U82" i="70" s="1"/>
  <c r="D45" i="71"/>
  <c r="A46" i="71"/>
  <c r="O74" i="71"/>
  <c r="O75" i="71" s="1"/>
  <c r="J48" i="70"/>
  <c r="A49" i="70"/>
  <c r="S78" i="70"/>
  <c r="R78" i="70" s="1"/>
  <c r="T79" i="70" s="1"/>
  <c r="T80" i="70" s="1"/>
  <c r="B49" i="70" l="1"/>
  <c r="Q49" i="70" s="1"/>
  <c r="B46" i="71"/>
  <c r="K46" i="71" s="1"/>
  <c r="S80" i="70"/>
  <c r="R80" i="70" s="1"/>
  <c r="T81" i="70" s="1"/>
  <c r="T82" i="70" s="1"/>
  <c r="M57" i="71"/>
  <c r="L57" i="71" s="1"/>
  <c r="N58" i="71" s="1"/>
  <c r="N59" i="71" s="1"/>
  <c r="J49" i="70"/>
  <c r="A50" i="70"/>
  <c r="D49" i="70"/>
  <c r="A47" i="71"/>
  <c r="U83" i="70"/>
  <c r="U84" i="70" s="1"/>
  <c r="O76" i="71"/>
  <c r="O77" i="71" s="1"/>
  <c r="B50" i="70" l="1"/>
  <c r="Q50" i="70" s="1"/>
  <c r="B47" i="71"/>
  <c r="K47" i="71" s="1"/>
  <c r="S82" i="70"/>
  <c r="R82" i="70" s="1"/>
  <c r="T83" i="70" s="1"/>
  <c r="T84" i="70" s="1"/>
  <c r="U85" i="70"/>
  <c r="U86" i="70" s="1"/>
  <c r="M59" i="71"/>
  <c r="L59" i="71" s="1"/>
  <c r="N60" i="71" s="1"/>
  <c r="N61" i="71" s="1"/>
  <c r="D47" i="71"/>
  <c r="A48" i="71"/>
  <c r="O78" i="71"/>
  <c r="O79" i="71" s="1"/>
  <c r="A51" i="70"/>
  <c r="J50" i="70"/>
  <c r="B51" i="70" l="1"/>
  <c r="Q51" i="70" s="1"/>
  <c r="B48" i="71"/>
  <c r="K48" i="71" s="1"/>
  <c r="O80" i="71"/>
  <c r="O81" i="71" s="1"/>
  <c r="A49" i="71"/>
  <c r="U87" i="70"/>
  <c r="U88" i="70" s="1"/>
  <c r="A52" i="70"/>
  <c r="D51" i="70"/>
  <c r="J51" i="70"/>
  <c r="M61" i="71"/>
  <c r="L61" i="71" s="1"/>
  <c r="N62" i="71" s="1"/>
  <c r="N63" i="71" s="1"/>
  <c r="S84" i="70"/>
  <c r="R84" i="70" s="1"/>
  <c r="T85" i="70" s="1"/>
  <c r="T86" i="70" s="1"/>
  <c r="B52" i="70" l="1"/>
  <c r="Q52" i="70" s="1"/>
  <c r="B49" i="71"/>
  <c r="K49" i="71" s="1"/>
  <c r="S86" i="70"/>
  <c r="R86" i="70" s="1"/>
  <c r="T87" i="70" s="1"/>
  <c r="T88" i="70" s="1"/>
  <c r="M63" i="71"/>
  <c r="L63" i="71" s="1"/>
  <c r="N64" i="71" s="1"/>
  <c r="N65" i="71" s="1"/>
  <c r="U89" i="70"/>
  <c r="A53" i="70"/>
  <c r="J52" i="70"/>
  <c r="A50" i="71"/>
  <c r="D49" i="71"/>
  <c r="O82" i="71"/>
  <c r="O83" i="71" s="1"/>
  <c r="B53" i="70" l="1"/>
  <c r="Q53" i="70" s="1"/>
  <c r="B50" i="71"/>
  <c r="K50" i="71" s="1"/>
  <c r="S88" i="70"/>
  <c r="R88" i="70" s="1"/>
  <c r="T89" i="70" s="1"/>
  <c r="M65" i="71"/>
  <c r="L65" i="71" s="1"/>
  <c r="N66" i="71" s="1"/>
  <c r="N67" i="71" s="1"/>
  <c r="O84" i="71"/>
  <c r="O85" i="71" s="1"/>
  <c r="A51" i="71"/>
  <c r="D53" i="70"/>
  <c r="A54" i="70"/>
  <c r="J53" i="70"/>
  <c r="B54" i="70" l="1"/>
  <c r="Q54" i="70" s="1"/>
  <c r="B51" i="71"/>
  <c r="K51" i="71" s="1"/>
  <c r="M67" i="71"/>
  <c r="L67" i="71" s="1"/>
  <c r="N68" i="71" s="1"/>
  <c r="N69" i="71" s="1"/>
  <c r="A52" i="71"/>
  <c r="D51" i="71"/>
  <c r="O86" i="71"/>
  <c r="O87" i="71" s="1"/>
  <c r="J54" i="70"/>
  <c r="A55" i="70"/>
  <c r="B55" i="70" l="1"/>
  <c r="Q55" i="70" s="1"/>
  <c r="B52" i="71"/>
  <c r="K52" i="71" s="1"/>
  <c r="M69" i="71"/>
  <c r="L69" i="71" s="1"/>
  <c r="N70" i="71" s="1"/>
  <c r="N71" i="71" s="1"/>
  <c r="A56" i="70"/>
  <c r="J55" i="70"/>
  <c r="D55" i="70"/>
  <c r="A53" i="71"/>
  <c r="O89" i="71"/>
  <c r="B56" i="70" l="1"/>
  <c r="Q56" i="70" s="1"/>
  <c r="B53" i="71"/>
  <c r="K53" i="71" s="1"/>
  <c r="M71" i="71"/>
  <c r="L71" i="71" s="1"/>
  <c r="N72" i="71" s="1"/>
  <c r="N73" i="71" s="1"/>
  <c r="A54" i="71"/>
  <c r="D53" i="71"/>
  <c r="A57" i="70"/>
  <c r="J56" i="70"/>
  <c r="B57" i="70" l="1"/>
  <c r="Q57" i="70" s="1"/>
  <c r="B54" i="71"/>
  <c r="K54" i="71" s="1"/>
  <c r="M73" i="71"/>
  <c r="L73" i="71" s="1"/>
  <c r="N74" i="71" s="1"/>
  <c r="N75" i="71" s="1"/>
  <c r="A58" i="70"/>
  <c r="J57" i="70"/>
  <c r="D57" i="70"/>
  <c r="A55" i="71"/>
  <c r="B58" i="70" l="1"/>
  <c r="Q58" i="70" s="1"/>
  <c r="B55" i="71"/>
  <c r="K55" i="71" s="1"/>
  <c r="J58" i="70"/>
  <c r="A59" i="70"/>
  <c r="A56" i="71"/>
  <c r="D55" i="71"/>
  <c r="M75" i="71"/>
  <c r="L75" i="71" s="1"/>
  <c r="N76" i="71" s="1"/>
  <c r="N77" i="71" s="1"/>
  <c r="B59" i="70" l="1"/>
  <c r="Q59" i="70" s="1"/>
  <c r="B56" i="71"/>
  <c r="K56" i="71" s="1"/>
  <c r="M77" i="71"/>
  <c r="L77" i="71" s="1"/>
  <c r="N78" i="71" s="1"/>
  <c r="N79" i="71" s="1"/>
  <c r="A57" i="71"/>
  <c r="A60" i="70"/>
  <c r="D59" i="70"/>
  <c r="J59" i="70"/>
  <c r="B60" i="70" l="1"/>
  <c r="Q60" i="70" s="1"/>
  <c r="B57" i="71"/>
  <c r="K57" i="71" s="1"/>
  <c r="M79" i="71"/>
  <c r="L79" i="71" s="1"/>
  <c r="N80" i="71" s="1"/>
  <c r="N81" i="71" s="1"/>
  <c r="A58" i="71"/>
  <c r="D57" i="71"/>
  <c r="A61" i="70"/>
  <c r="J60" i="70"/>
  <c r="B61" i="70" l="1"/>
  <c r="Q61" i="70" s="1"/>
  <c r="B58" i="71"/>
  <c r="K58" i="71" s="1"/>
  <c r="M81" i="71"/>
  <c r="L81" i="71" s="1"/>
  <c r="N82" i="71" s="1"/>
  <c r="N83" i="71" s="1"/>
  <c r="A62" i="70"/>
  <c r="J61" i="70"/>
  <c r="D61" i="70"/>
  <c r="A59" i="71"/>
  <c r="B62" i="70" l="1"/>
  <c r="Q62" i="70" s="1"/>
  <c r="B59" i="71"/>
  <c r="K59" i="71" s="1"/>
  <c r="M83" i="71"/>
  <c r="L83" i="71" s="1"/>
  <c r="N84" i="71" s="1"/>
  <c r="N85" i="71" s="1"/>
  <c r="A60" i="71"/>
  <c r="D59" i="71"/>
  <c r="J62" i="70"/>
  <c r="A63" i="70"/>
  <c r="B63" i="70" l="1"/>
  <c r="Q63" i="70" s="1"/>
  <c r="B60" i="71"/>
  <c r="K60" i="71" s="1"/>
  <c r="M85" i="71"/>
  <c r="L85" i="71" s="1"/>
  <c r="N86" i="71" s="1"/>
  <c r="N87" i="71" s="1"/>
  <c r="A61" i="71"/>
  <c r="A64" i="70"/>
  <c r="D63" i="70"/>
  <c r="J63" i="70"/>
  <c r="B64" i="70" l="1"/>
  <c r="Q64" i="70" s="1"/>
  <c r="B61" i="71"/>
  <c r="K61" i="71" s="1"/>
  <c r="M87" i="71"/>
  <c r="N89" i="71"/>
  <c r="A65" i="70"/>
  <c r="J64" i="70"/>
  <c r="A62" i="71"/>
  <c r="D61" i="71"/>
  <c r="B65" i="70" l="1"/>
  <c r="Q65" i="70" s="1"/>
  <c r="B62" i="71"/>
  <c r="K62" i="71" s="1"/>
  <c r="A66" i="70"/>
  <c r="J65" i="70"/>
  <c r="D65" i="70"/>
  <c r="A63" i="71"/>
  <c r="M89" i="71"/>
  <c r="L87" i="71"/>
  <c r="L89" i="71" s="1"/>
  <c r="B66" i="70" l="1"/>
  <c r="Q66" i="70" s="1"/>
  <c r="B63" i="71"/>
  <c r="K63" i="71" s="1"/>
  <c r="J66" i="70"/>
  <c r="A67" i="70"/>
  <c r="A64" i="71"/>
  <c r="D63" i="71"/>
  <c r="B67" i="70" l="1"/>
  <c r="Q67" i="70" s="1"/>
  <c r="B64" i="71"/>
  <c r="K64" i="71" s="1"/>
  <c r="A65" i="71"/>
  <c r="A68" i="70"/>
  <c r="D67" i="70"/>
  <c r="J67" i="70"/>
  <c r="B68" i="70" l="1"/>
  <c r="Q68" i="70" s="1"/>
  <c r="B65" i="71"/>
  <c r="K65" i="71" s="1"/>
  <c r="A69" i="70"/>
  <c r="J68" i="70"/>
  <c r="A66" i="71"/>
  <c r="D65" i="71"/>
  <c r="B69" i="70" l="1"/>
  <c r="Q69" i="70" s="1"/>
  <c r="B66" i="71"/>
  <c r="K66" i="71" s="1"/>
  <c r="A67" i="71"/>
  <c r="A70" i="70"/>
  <c r="J69" i="70"/>
  <c r="D69" i="70"/>
  <c r="B70" i="70" l="1"/>
  <c r="Q70" i="70" s="1"/>
  <c r="B67" i="71"/>
  <c r="K67" i="71" s="1"/>
  <c r="J70" i="70"/>
  <c r="A71" i="70"/>
  <c r="A68" i="71"/>
  <c r="D67" i="71"/>
  <c r="B71" i="70" l="1"/>
  <c r="Q71" i="70" s="1"/>
  <c r="B68" i="71"/>
  <c r="K68" i="71" s="1"/>
  <c r="A69" i="71"/>
  <c r="A72" i="70"/>
  <c r="D71" i="70"/>
  <c r="J71" i="70"/>
  <c r="B72" i="70" l="1"/>
  <c r="Q72" i="70" s="1"/>
  <c r="B69" i="71"/>
  <c r="K69" i="71" s="1"/>
  <c r="A73" i="70"/>
  <c r="J72" i="70"/>
  <c r="A70" i="71"/>
  <c r="D69" i="71"/>
  <c r="B73" i="70" l="1"/>
  <c r="Q73" i="70" s="1"/>
  <c r="B70" i="71"/>
  <c r="K70" i="71" s="1"/>
  <c r="A71" i="71"/>
  <c r="A74" i="70"/>
  <c r="B74" i="70" s="1"/>
  <c r="J73" i="70"/>
  <c r="D73" i="70"/>
  <c r="H26" i="2826" l="1"/>
  <c r="H184" i="2826" s="1"/>
  <c r="H38" i="2826"/>
  <c r="H166" i="2826" s="1"/>
  <c r="B71" i="71"/>
  <c r="K71" i="71" s="1"/>
  <c r="Q74" i="70"/>
  <c r="F74" i="70"/>
  <c r="N74" i="70"/>
  <c r="J74" i="70"/>
  <c r="H74" i="70"/>
  <c r="A75" i="70"/>
  <c r="B75" i="70" s="1"/>
  <c r="A72" i="71"/>
  <c r="D71" i="71"/>
  <c r="H169" i="2826" l="1"/>
  <c r="G27" i="2826"/>
  <c r="G189" i="2826" s="1"/>
  <c r="G39" i="2826"/>
  <c r="G167" i="2826" s="1"/>
  <c r="G168" i="2826" s="1"/>
  <c r="I26" i="2826"/>
  <c r="I184" i="2826" s="1"/>
  <c r="I38" i="2826"/>
  <c r="I166" i="2826" s="1"/>
  <c r="H27" i="2826"/>
  <c r="H189" i="2826" s="1"/>
  <c r="H39" i="2826"/>
  <c r="H167" i="2826" s="1"/>
  <c r="H168" i="2826" s="1"/>
  <c r="I27" i="2826"/>
  <c r="I189" i="2826" s="1"/>
  <c r="I39" i="2826"/>
  <c r="I167" i="2826" s="1"/>
  <c r="I168" i="2826" s="1"/>
  <c r="H88" i="2826"/>
  <c r="I54" i="2826"/>
  <c r="I172" i="2826" s="1"/>
  <c r="I175" i="2826" s="1"/>
  <c r="H54" i="2826"/>
  <c r="B72" i="71"/>
  <c r="K72" i="71" s="1"/>
  <c r="N75" i="70"/>
  <c r="D75" i="70"/>
  <c r="A76" i="70"/>
  <c r="B76" i="70" s="1"/>
  <c r="J75" i="70"/>
  <c r="H75" i="70"/>
  <c r="F75" i="70"/>
  <c r="P75" i="70"/>
  <c r="Q75" i="70"/>
  <c r="A73" i="71"/>
  <c r="I169" i="2826" l="1"/>
  <c r="I178" i="2826" s="1"/>
  <c r="I183" i="2826"/>
  <c r="I185" i="2826" s="1"/>
  <c r="H70" i="2826"/>
  <c r="H172" i="2826"/>
  <c r="I70" i="2826"/>
  <c r="I56" i="2826"/>
  <c r="I91" i="2826"/>
  <c r="I59" i="2826"/>
  <c r="H91" i="2826"/>
  <c r="H59" i="2826"/>
  <c r="H28" i="2826"/>
  <c r="H40" i="2826"/>
  <c r="H55" i="2826"/>
  <c r="H94" i="2826"/>
  <c r="I55" i="2826"/>
  <c r="I97" i="2826"/>
  <c r="H97" i="2826"/>
  <c r="G26" i="2826"/>
  <c r="G184" i="2826" s="1"/>
  <c r="G56" i="2826"/>
  <c r="G54" i="2826"/>
  <c r="G172" i="2826" s="1"/>
  <c r="G175" i="2826" s="1"/>
  <c r="G55" i="2826"/>
  <c r="G38" i="2826"/>
  <c r="G166" i="2826" s="1"/>
  <c r="G28" i="2826"/>
  <c r="G194" i="2826" s="1"/>
  <c r="G40" i="2826"/>
  <c r="I28" i="2826"/>
  <c r="I40" i="2826"/>
  <c r="I88" i="2826"/>
  <c r="I94" i="2826" s="1"/>
  <c r="G97" i="2826"/>
  <c r="H56" i="2826"/>
  <c r="B73" i="71"/>
  <c r="K73" i="71" s="1"/>
  <c r="A74" i="71"/>
  <c r="D73" i="71"/>
  <c r="A77" i="70"/>
  <c r="B77" i="70" s="1"/>
  <c r="J76" i="70"/>
  <c r="Q76" i="70"/>
  <c r="N76" i="70"/>
  <c r="H76" i="70"/>
  <c r="F76" i="70"/>
  <c r="G169" i="2826" l="1"/>
  <c r="G178" i="2826" s="1"/>
  <c r="G183" i="2826"/>
  <c r="G185" i="2826" s="1"/>
  <c r="H209" i="2826"/>
  <c r="H212" i="2826" s="1"/>
  <c r="H215" i="2826" s="1"/>
  <c r="H198" i="2826"/>
  <c r="H201" i="2826" s="1"/>
  <c r="H203" i="2826" s="1"/>
  <c r="I209" i="2826"/>
  <c r="I212" i="2826" s="1"/>
  <c r="I215" i="2826" s="1"/>
  <c r="I198" i="2826"/>
  <c r="I201" i="2826" s="1"/>
  <c r="I203" i="2826" s="1"/>
  <c r="I79" i="2826"/>
  <c r="I85" i="2826" s="1"/>
  <c r="I109" i="2826"/>
  <c r="G109" i="2826"/>
  <c r="I71" i="2826"/>
  <c r="I173" i="2826"/>
  <c r="H29" i="2826"/>
  <c r="H194" i="2826"/>
  <c r="H175" i="2826"/>
  <c r="H178" i="2826" s="1"/>
  <c r="H183" i="2826"/>
  <c r="H185" i="2826" s="1"/>
  <c r="H109" i="2826"/>
  <c r="I29" i="2826"/>
  <c r="I194" i="2826"/>
  <c r="G71" i="2826"/>
  <c r="G173" i="2826"/>
  <c r="H71" i="2826"/>
  <c r="H173" i="2826"/>
  <c r="G79" i="2826"/>
  <c r="G70" i="2826"/>
  <c r="G76" i="2826" s="1"/>
  <c r="I106" i="2826"/>
  <c r="I112" i="2826" s="1"/>
  <c r="I72" i="2826"/>
  <c r="G106" i="2826"/>
  <c r="G112" i="2826" s="1"/>
  <c r="G72" i="2826"/>
  <c r="G82" i="2826"/>
  <c r="H72" i="2826"/>
  <c r="H106" i="2826"/>
  <c r="H112" i="2826" s="1"/>
  <c r="H79" i="2826"/>
  <c r="H85" i="2826" s="1"/>
  <c r="I82" i="2826"/>
  <c r="H82" i="2826"/>
  <c r="I15" i="2826"/>
  <c r="I17" i="2826" s="1"/>
  <c r="I76" i="2826"/>
  <c r="G61" i="2826"/>
  <c r="I61" i="2826"/>
  <c r="H100" i="2826"/>
  <c r="H103" i="2826" s="1"/>
  <c r="H60" i="2826"/>
  <c r="H68" i="2826" s="1"/>
  <c r="G103" i="2826"/>
  <c r="G91" i="2826"/>
  <c r="G59" i="2826"/>
  <c r="G15" i="2826"/>
  <c r="G17" i="2826" s="1"/>
  <c r="H61" i="2826"/>
  <c r="G88" i="2826"/>
  <c r="G94" i="2826" s="1"/>
  <c r="G29" i="2826"/>
  <c r="H76" i="2826"/>
  <c r="H15" i="2826"/>
  <c r="H17" i="2826" s="1"/>
  <c r="G100" i="2826"/>
  <c r="G60" i="2826"/>
  <c r="G68" i="2826" s="1"/>
  <c r="I100" i="2826"/>
  <c r="I103" i="2826" s="1"/>
  <c r="I60" i="2826"/>
  <c r="I68" i="2826" s="1"/>
  <c r="B74" i="71"/>
  <c r="K74" i="71" s="1"/>
  <c r="J77" i="70"/>
  <c r="N77" i="70"/>
  <c r="D77" i="70"/>
  <c r="H77" i="70"/>
  <c r="A78" i="70"/>
  <c r="B78" i="70" s="1"/>
  <c r="F77" i="70"/>
  <c r="Q77" i="70"/>
  <c r="P77" i="70"/>
  <c r="A75" i="71"/>
  <c r="H113" i="2826" l="1"/>
  <c r="H188" i="2826"/>
  <c r="H190" i="2826" s="1"/>
  <c r="H174" i="2826"/>
  <c r="H193" i="2826" s="1"/>
  <c r="H195" i="2826" s="1"/>
  <c r="I188" i="2826"/>
  <c r="I190" i="2826" s="1"/>
  <c r="I174" i="2826"/>
  <c r="I193" i="2826" s="1"/>
  <c r="I195" i="2826" s="1"/>
  <c r="G188" i="2826"/>
  <c r="G190" i="2826" s="1"/>
  <c r="G174" i="2826"/>
  <c r="G193" i="2826" s="1"/>
  <c r="G195" i="2826" s="1"/>
  <c r="I113" i="2826"/>
  <c r="I77" i="2826"/>
  <c r="I86" i="2826"/>
  <c r="G209" i="2826"/>
  <c r="G212" i="2826" s="1"/>
  <c r="G215" i="2826" s="1"/>
  <c r="G198" i="2826"/>
  <c r="G201" i="2826" s="1"/>
  <c r="G203" i="2826" s="1"/>
  <c r="I179" i="2826"/>
  <c r="I180" i="2826" s="1"/>
  <c r="I205" i="2826"/>
  <c r="I206" i="2826" s="1"/>
  <c r="G210" i="2826"/>
  <c r="G211" i="2826" s="1"/>
  <c r="G199" i="2826"/>
  <c r="G200" i="2826" s="1"/>
  <c r="H77" i="2826"/>
  <c r="H210" i="2826"/>
  <c r="H211" i="2826" s="1"/>
  <c r="H199" i="2826"/>
  <c r="H200" i="2826" s="1"/>
  <c r="H86" i="2826"/>
  <c r="G205" i="2826"/>
  <c r="G179" i="2826"/>
  <c r="G180" i="2826" s="1"/>
  <c r="H179" i="2826"/>
  <c r="H180" i="2826" s="1"/>
  <c r="H205" i="2826"/>
  <c r="H206" i="2826" s="1"/>
  <c r="I210" i="2826"/>
  <c r="I211" i="2826" s="1"/>
  <c r="I199" i="2826"/>
  <c r="I200" i="2826" s="1"/>
  <c r="G77" i="2826"/>
  <c r="G113" i="2826"/>
  <c r="H65" i="2826"/>
  <c r="I65" i="2826"/>
  <c r="G85" i="2826"/>
  <c r="G86" i="2826" s="1"/>
  <c r="G65" i="2826"/>
  <c r="G216" i="2826" s="1"/>
  <c r="B75" i="71"/>
  <c r="K75" i="71" s="1"/>
  <c r="A79" i="70"/>
  <c r="B79" i="70" s="1"/>
  <c r="H78" i="70"/>
  <c r="J78" i="70"/>
  <c r="F78" i="70"/>
  <c r="N78" i="70"/>
  <c r="Q78" i="70"/>
  <c r="A76" i="71"/>
  <c r="D75" i="71"/>
  <c r="H196" i="2826" l="1"/>
  <c r="G186" i="2826"/>
  <c r="G196" i="2826"/>
  <c r="G191" i="2826"/>
  <c r="I196" i="2826"/>
  <c r="H186" i="2826"/>
  <c r="H191" i="2826"/>
  <c r="I191" i="2826"/>
  <c r="I186" i="2826"/>
  <c r="G206" i="2826"/>
  <c r="H118" i="2826"/>
  <c r="H216" i="2826"/>
  <c r="H217" i="2826" s="1"/>
  <c r="I116" i="2826"/>
  <c r="I216" i="2826"/>
  <c r="I217" i="2826" s="1"/>
  <c r="G217" i="2826"/>
  <c r="H120" i="2826"/>
  <c r="H66" i="2826"/>
  <c r="H116" i="2826"/>
  <c r="I66" i="2826"/>
  <c r="I118" i="2826"/>
  <c r="I120" i="2826"/>
  <c r="G120" i="2826"/>
  <c r="G118" i="2826"/>
  <c r="G116" i="2826"/>
  <c r="G66" i="2826"/>
  <c r="B76" i="71"/>
  <c r="K76" i="71" s="1"/>
  <c r="A77" i="71"/>
  <c r="J79" i="70"/>
  <c r="N79" i="70"/>
  <c r="D79" i="70"/>
  <c r="Q79" i="70"/>
  <c r="P79" i="70"/>
  <c r="H79" i="70"/>
  <c r="A80" i="70"/>
  <c r="B80" i="70" s="1"/>
  <c r="F79" i="70"/>
  <c r="G218" i="2826" l="1"/>
  <c r="H218" i="2826"/>
  <c r="I218" i="2826"/>
  <c r="B77" i="71"/>
  <c r="K77" i="71" s="1"/>
  <c r="A81" i="70"/>
  <c r="B81" i="70" s="1"/>
  <c r="H80" i="70"/>
  <c r="J80" i="70"/>
  <c r="Q80" i="70"/>
  <c r="N80" i="70"/>
  <c r="F80" i="70"/>
  <c r="A78" i="71"/>
  <c r="D77" i="71"/>
  <c r="B78" i="71" l="1"/>
  <c r="K78" i="71" s="1"/>
  <c r="J81" i="70"/>
  <c r="N81" i="70"/>
  <c r="D81" i="70"/>
  <c r="H81" i="70"/>
  <c r="A82" i="70"/>
  <c r="B82" i="70" s="1"/>
  <c r="F81" i="70"/>
  <c r="P81" i="70"/>
  <c r="Q81" i="70"/>
  <c r="A79" i="71"/>
  <c r="B79" i="71" l="1"/>
  <c r="K79" i="71" s="1"/>
  <c r="A80" i="71"/>
  <c r="D79" i="71"/>
  <c r="A83" i="70"/>
  <c r="B83" i="70" s="1"/>
  <c r="H82" i="70"/>
  <c r="J82" i="70"/>
  <c r="F82" i="70"/>
  <c r="Q82" i="70"/>
  <c r="N82" i="70"/>
  <c r="B80" i="71" l="1"/>
  <c r="K80" i="71" s="1"/>
  <c r="J83" i="70"/>
  <c r="N83" i="70"/>
  <c r="D83" i="70"/>
  <c r="Q83" i="70"/>
  <c r="P83" i="70"/>
  <c r="F83" i="70"/>
  <c r="A84" i="70"/>
  <c r="B84" i="70" s="1"/>
  <c r="H83" i="70"/>
  <c r="A81" i="71"/>
  <c r="B81" i="71" l="1"/>
  <c r="K81" i="71" s="1"/>
  <c r="A82" i="71"/>
  <c r="D81" i="71"/>
  <c r="A85" i="70"/>
  <c r="B85" i="70" s="1"/>
  <c r="H84" i="70"/>
  <c r="J84" i="70"/>
  <c r="Q84" i="70"/>
  <c r="N84" i="70"/>
  <c r="F84" i="70"/>
  <c r="B82" i="71" l="1"/>
  <c r="K82" i="71" s="1"/>
  <c r="J85" i="70"/>
  <c r="N85" i="70"/>
  <c r="D85" i="70"/>
  <c r="H85" i="70"/>
  <c r="A86" i="70"/>
  <c r="B86" i="70" s="1"/>
  <c r="F85" i="70"/>
  <c r="Q85" i="70"/>
  <c r="P85" i="70"/>
  <c r="A83" i="71"/>
  <c r="B83" i="71" l="1"/>
  <c r="K83" i="71" s="1"/>
  <c r="A87" i="70"/>
  <c r="B87" i="70" s="1"/>
  <c r="H86" i="70"/>
  <c r="J86" i="70"/>
  <c r="F86" i="70"/>
  <c r="N86" i="70"/>
  <c r="Q86" i="70"/>
  <c r="A84" i="71"/>
  <c r="D83" i="71"/>
  <c r="B84" i="71" l="1"/>
  <c r="K84" i="71" s="1"/>
  <c r="A85" i="71"/>
  <c r="J87" i="70"/>
  <c r="N87" i="70"/>
  <c r="D87" i="70"/>
  <c r="Q87" i="70"/>
  <c r="P87" i="70"/>
  <c r="H87" i="70"/>
  <c r="A88" i="70"/>
  <c r="B88" i="70" s="1"/>
  <c r="F87" i="70"/>
  <c r="B85" i="71" l="1"/>
  <c r="K85" i="71" s="1"/>
  <c r="A86" i="71"/>
  <c r="D85" i="71"/>
  <c r="A89" i="70"/>
  <c r="B89" i="70" s="1"/>
  <c r="H88" i="70"/>
  <c r="J88" i="70"/>
  <c r="Q88" i="70"/>
  <c r="N88" i="70"/>
  <c r="F88" i="70"/>
  <c r="B86" i="71" l="1"/>
  <c r="K86" i="71" s="1"/>
  <c r="J89" i="70"/>
  <c r="J91" i="70" s="1"/>
  <c r="N89" i="70"/>
  <c r="D89" i="70"/>
  <c r="H89" i="70"/>
  <c r="F89" i="70"/>
  <c r="P89" i="70"/>
  <c r="Q89" i="70"/>
  <c r="A87" i="71"/>
  <c r="B87" i="71" l="1"/>
  <c r="K87" i="71" s="1"/>
  <c r="D87" i="71"/>
  <c r="F10" i="70"/>
  <c r="F15" i="70"/>
  <c r="H15" i="70" s="1"/>
  <c r="N15" i="70" s="1"/>
  <c r="F13" i="70"/>
  <c r="H13" i="70" s="1"/>
  <c r="N13" i="70" s="1"/>
  <c r="D91" i="70"/>
  <c r="T92" i="70" s="1"/>
  <c r="F11" i="70"/>
  <c r="H11" i="70" s="1"/>
  <c r="N11" i="70" s="1"/>
  <c r="F17" i="70"/>
  <c r="H17" i="70" s="1"/>
  <c r="N17" i="70" s="1"/>
  <c r="F12" i="70"/>
  <c r="H12" i="70" s="1"/>
  <c r="N12" i="70" s="1"/>
  <c r="F16" i="70"/>
  <c r="H16" i="70" s="1"/>
  <c r="N16" i="70" s="1"/>
  <c r="F14" i="70"/>
  <c r="H14" i="70" s="1"/>
  <c r="N14" i="70" s="1"/>
  <c r="F18" i="70"/>
  <c r="H18" i="70" s="1"/>
  <c r="N18" i="70" s="1"/>
  <c r="F21" i="70"/>
  <c r="H21" i="70" s="1"/>
  <c r="N21" i="70" s="1"/>
  <c r="F19" i="70"/>
  <c r="H19" i="70" s="1"/>
  <c r="N19" i="70" s="1"/>
  <c r="F20" i="70"/>
  <c r="H20" i="70" s="1"/>
  <c r="N20" i="70" s="1"/>
  <c r="F22" i="70"/>
  <c r="H22" i="70" s="1"/>
  <c r="N22" i="70" s="1"/>
  <c r="F23" i="70"/>
  <c r="H23" i="70" s="1"/>
  <c r="N23" i="70" s="1"/>
  <c r="F24" i="70"/>
  <c r="H24" i="70" s="1"/>
  <c r="N24" i="70" s="1"/>
  <c r="F25" i="70"/>
  <c r="H25" i="70" s="1"/>
  <c r="N25" i="70" s="1"/>
  <c r="F26" i="70"/>
  <c r="H26" i="70" s="1"/>
  <c r="N26" i="70" s="1"/>
  <c r="F29" i="70"/>
  <c r="H29" i="70" s="1"/>
  <c r="N29" i="70" s="1"/>
  <c r="F27" i="70"/>
  <c r="H27" i="70" s="1"/>
  <c r="N27" i="70" s="1"/>
  <c r="F28" i="70"/>
  <c r="H28" i="70" s="1"/>
  <c r="N28" i="70" s="1"/>
  <c r="F30" i="70"/>
  <c r="H30" i="70" s="1"/>
  <c r="N30" i="70" s="1"/>
  <c r="F31" i="70"/>
  <c r="H31" i="70" s="1"/>
  <c r="N31" i="70" s="1"/>
  <c r="F32" i="70"/>
  <c r="H32" i="70" s="1"/>
  <c r="N32" i="70" s="1"/>
  <c r="F35" i="70"/>
  <c r="H35" i="70" s="1"/>
  <c r="N35" i="70" s="1"/>
  <c r="F34" i="70"/>
  <c r="H34" i="70" s="1"/>
  <c r="N34" i="70" s="1"/>
  <c r="F33" i="70"/>
  <c r="H33" i="70" s="1"/>
  <c r="N33" i="70" s="1"/>
  <c r="F36" i="70"/>
  <c r="H36" i="70" s="1"/>
  <c r="N36" i="70" s="1"/>
  <c r="F39" i="70"/>
  <c r="H39" i="70" s="1"/>
  <c r="N39" i="70" s="1"/>
  <c r="F38" i="70"/>
  <c r="H38" i="70" s="1"/>
  <c r="N38" i="70" s="1"/>
  <c r="F37" i="70"/>
  <c r="H37" i="70" s="1"/>
  <c r="N37" i="70" s="1"/>
  <c r="F40" i="70"/>
  <c r="H40" i="70" s="1"/>
  <c r="N40" i="70" s="1"/>
  <c r="F41" i="70"/>
  <c r="H41" i="70" s="1"/>
  <c r="N41" i="70" s="1"/>
  <c r="F42" i="70"/>
  <c r="H42" i="70" s="1"/>
  <c r="N42" i="70" s="1"/>
  <c r="F44" i="70"/>
  <c r="H44" i="70" s="1"/>
  <c r="N44" i="70" s="1"/>
  <c r="F43" i="70"/>
  <c r="H43" i="70" s="1"/>
  <c r="N43" i="70" s="1"/>
  <c r="F47" i="70"/>
  <c r="H47" i="70" s="1"/>
  <c r="N47" i="70" s="1"/>
  <c r="F45" i="70"/>
  <c r="H45" i="70" s="1"/>
  <c r="N45" i="70" s="1"/>
  <c r="F46" i="70"/>
  <c r="H46" i="70" s="1"/>
  <c r="N46" i="70" s="1"/>
  <c r="F51" i="70"/>
  <c r="H51" i="70" s="1"/>
  <c r="N51" i="70" s="1"/>
  <c r="F48" i="70"/>
  <c r="H48" i="70" s="1"/>
  <c r="N48" i="70" s="1"/>
  <c r="F50" i="70"/>
  <c r="H50" i="70" s="1"/>
  <c r="N50" i="70" s="1"/>
  <c r="F49" i="70"/>
  <c r="H49" i="70" s="1"/>
  <c r="N49" i="70" s="1"/>
  <c r="F53" i="70"/>
  <c r="H53" i="70" s="1"/>
  <c r="N53" i="70" s="1"/>
  <c r="F52" i="70"/>
  <c r="H52" i="70" s="1"/>
  <c r="N52" i="70" s="1"/>
  <c r="F57" i="70"/>
  <c r="H57" i="70" s="1"/>
  <c r="N57" i="70" s="1"/>
  <c r="F54" i="70"/>
  <c r="H54" i="70" s="1"/>
  <c r="N54" i="70" s="1"/>
  <c r="F55" i="70"/>
  <c r="H55" i="70" s="1"/>
  <c r="N55" i="70" s="1"/>
  <c r="F56" i="70"/>
  <c r="H56" i="70" s="1"/>
  <c r="N56" i="70" s="1"/>
  <c r="F59" i="70"/>
  <c r="H59" i="70" s="1"/>
  <c r="N59" i="70" s="1"/>
  <c r="F58" i="70"/>
  <c r="H58" i="70" s="1"/>
  <c r="N58" i="70" s="1"/>
  <c r="F60" i="70"/>
  <c r="H60" i="70" s="1"/>
  <c r="N60" i="70" s="1"/>
  <c r="F61" i="70"/>
  <c r="H61" i="70" s="1"/>
  <c r="N61" i="70" s="1"/>
  <c r="F62" i="70"/>
  <c r="H62" i="70" s="1"/>
  <c r="N62" i="70" s="1"/>
  <c r="F65" i="70"/>
  <c r="H65" i="70" s="1"/>
  <c r="N65" i="70" s="1"/>
  <c r="F64" i="70"/>
  <c r="H64" i="70" s="1"/>
  <c r="N64" i="70" s="1"/>
  <c r="F67" i="70"/>
  <c r="H67" i="70" s="1"/>
  <c r="N67" i="70" s="1"/>
  <c r="F63" i="70"/>
  <c r="H63" i="70" s="1"/>
  <c r="N63" i="70" s="1"/>
  <c r="F69" i="70"/>
  <c r="H69" i="70" s="1"/>
  <c r="N69" i="70" s="1"/>
  <c r="F66" i="70"/>
  <c r="H66" i="70" s="1"/>
  <c r="N66" i="70" s="1"/>
  <c r="F68" i="70"/>
  <c r="H68" i="70" s="1"/>
  <c r="N68" i="70" s="1"/>
  <c r="F70" i="70"/>
  <c r="H70" i="70" s="1"/>
  <c r="N70" i="70" s="1"/>
  <c r="F73" i="70"/>
  <c r="H73" i="70" s="1"/>
  <c r="N73" i="70" s="1"/>
  <c r="F71" i="70"/>
  <c r="H71" i="70" s="1"/>
  <c r="N71" i="70" s="1"/>
  <c r="F72" i="70"/>
  <c r="H72" i="70" s="1"/>
  <c r="N72" i="70" s="1"/>
  <c r="P13" i="70" l="1"/>
  <c r="P31" i="70"/>
  <c r="P73" i="70"/>
  <c r="P69" i="70"/>
  <c r="P49" i="70"/>
  <c r="P29" i="70"/>
  <c r="P21" i="70"/>
  <c r="P53" i="70"/>
  <c r="P71" i="70"/>
  <c r="P51" i="70"/>
  <c r="P43" i="70"/>
  <c r="P39" i="70"/>
  <c r="P35" i="70"/>
  <c r="P27" i="70"/>
  <c r="P23" i="70"/>
  <c r="P19" i="70"/>
  <c r="P55" i="70"/>
  <c r="F91" i="70"/>
  <c r="H10" i="70"/>
  <c r="P59" i="70"/>
  <c r="P47" i="70"/>
  <c r="P45" i="70"/>
  <c r="P63" i="70"/>
  <c r="P57" i="70"/>
  <c r="P15" i="70"/>
  <c r="P67" i="70"/>
  <c r="P65" i="70"/>
  <c r="P61" i="70"/>
  <c r="P41" i="70"/>
  <c r="P37" i="70"/>
  <c r="P33" i="70"/>
  <c r="P25" i="70"/>
  <c r="P17" i="70"/>
  <c r="D89" i="71"/>
  <c r="F8" i="71"/>
  <c r="F9" i="71"/>
  <c r="F11" i="71"/>
  <c r="H11" i="71" s="1"/>
  <c r="D91" i="71"/>
  <c r="N92" i="71" s="1"/>
  <c r="F10" i="71"/>
  <c r="H10" i="71" s="1"/>
  <c r="F13" i="71"/>
  <c r="H13" i="71" s="1"/>
  <c r="F12" i="71"/>
  <c r="H12" i="71" s="1"/>
  <c r="F14" i="71"/>
  <c r="H14" i="71" s="1"/>
  <c r="F18" i="71"/>
  <c r="H18" i="71" s="1"/>
  <c r="F16" i="71"/>
  <c r="H16" i="71" s="1"/>
  <c r="F17" i="71"/>
  <c r="H17" i="71" s="1"/>
  <c r="F19" i="71"/>
  <c r="H19" i="71" s="1"/>
  <c r="F15" i="71"/>
  <c r="H15" i="71" s="1"/>
  <c r="F21" i="71"/>
  <c r="H21" i="71" s="1"/>
  <c r="F20" i="71"/>
  <c r="H20" i="71" s="1"/>
  <c r="F23" i="71"/>
  <c r="H23" i="71" s="1"/>
  <c r="F22" i="71"/>
  <c r="H22" i="71" s="1"/>
  <c r="F24" i="71"/>
  <c r="H24" i="71" s="1"/>
  <c r="F25" i="71"/>
  <c r="H25" i="71" s="1"/>
  <c r="F26" i="71"/>
  <c r="H26" i="71" s="1"/>
  <c r="F27" i="71"/>
  <c r="H27" i="71" s="1"/>
  <c r="F28" i="71"/>
  <c r="H28" i="71" s="1"/>
  <c r="F29" i="71"/>
  <c r="H29" i="71" s="1"/>
  <c r="F32" i="71"/>
  <c r="H32" i="71" s="1"/>
  <c r="F30" i="71"/>
  <c r="H30" i="71" s="1"/>
  <c r="F31" i="71"/>
  <c r="H31" i="71" s="1"/>
  <c r="F33" i="71"/>
  <c r="H33" i="71" s="1"/>
  <c r="F34" i="71"/>
  <c r="H34" i="71" s="1"/>
  <c r="F35" i="71"/>
  <c r="H35" i="71" s="1"/>
  <c r="F36" i="71"/>
  <c r="H36" i="71" s="1"/>
  <c r="F37" i="71"/>
  <c r="H37" i="71" s="1"/>
  <c r="F38" i="71"/>
  <c r="H38" i="71" s="1"/>
  <c r="F39" i="71"/>
  <c r="H39" i="71" s="1"/>
  <c r="F41" i="71"/>
  <c r="H41" i="71" s="1"/>
  <c r="F40" i="71"/>
  <c r="H40" i="71" s="1"/>
  <c r="F42" i="71"/>
  <c r="H42" i="71" s="1"/>
  <c r="F45" i="71"/>
  <c r="H45" i="71" s="1"/>
  <c r="F44" i="71"/>
  <c r="H44" i="71" s="1"/>
  <c r="F43" i="71"/>
  <c r="H43" i="71" s="1"/>
  <c r="F46" i="71"/>
  <c r="H46" i="71" s="1"/>
  <c r="F48" i="71"/>
  <c r="H48" i="71" s="1"/>
  <c r="F47" i="71"/>
  <c r="H47" i="71" s="1"/>
  <c r="F49" i="71"/>
  <c r="H49" i="71" s="1"/>
  <c r="F50" i="71"/>
  <c r="H50" i="71" s="1"/>
  <c r="F51" i="71"/>
  <c r="H51" i="71" s="1"/>
  <c r="F52" i="71"/>
  <c r="H52" i="71" s="1"/>
  <c r="F54" i="71"/>
  <c r="H54" i="71" s="1"/>
  <c r="F55" i="71"/>
  <c r="H55" i="71" s="1"/>
  <c r="F53" i="71"/>
  <c r="H53" i="71" s="1"/>
  <c r="F56" i="71"/>
  <c r="H56" i="71" s="1"/>
  <c r="F57" i="71"/>
  <c r="H57" i="71" s="1"/>
  <c r="F58" i="71"/>
  <c r="H58" i="71" s="1"/>
  <c r="F59" i="71"/>
  <c r="H59" i="71" s="1"/>
  <c r="F60" i="71"/>
  <c r="H60" i="71" s="1"/>
  <c r="F63" i="71"/>
  <c r="H63" i="71" s="1"/>
  <c r="F62" i="71"/>
  <c r="H62" i="71" s="1"/>
  <c r="F61" i="71"/>
  <c r="H61" i="71" s="1"/>
  <c r="F64" i="71"/>
  <c r="H64" i="71" s="1"/>
  <c r="F67" i="71"/>
  <c r="H67" i="71" s="1"/>
  <c r="F65" i="71"/>
  <c r="H65" i="71" s="1"/>
  <c r="F66" i="71"/>
  <c r="H66" i="71" s="1"/>
  <c r="F68" i="71"/>
  <c r="H68" i="71" s="1"/>
  <c r="F73" i="71"/>
  <c r="H73" i="71" s="1"/>
  <c r="F70" i="71"/>
  <c r="H70" i="71" s="1"/>
  <c r="F69" i="71"/>
  <c r="H69" i="71" s="1"/>
  <c r="F71" i="71"/>
  <c r="H71" i="71" s="1"/>
  <c r="F72" i="71"/>
  <c r="H72" i="71" s="1"/>
  <c r="F74" i="71"/>
  <c r="H74" i="71" s="1"/>
  <c r="F75" i="71"/>
  <c r="H75" i="71" s="1"/>
  <c r="F76" i="71"/>
  <c r="H76" i="71" s="1"/>
  <c r="F85" i="71"/>
  <c r="H85" i="71" s="1"/>
  <c r="F80" i="71"/>
  <c r="H80" i="71" s="1"/>
  <c r="F79" i="71"/>
  <c r="H79" i="71" s="1"/>
  <c r="F77" i="71"/>
  <c r="H77" i="71" s="1"/>
  <c r="F86" i="71"/>
  <c r="H86" i="71" s="1"/>
  <c r="F84" i="71"/>
  <c r="H84" i="71" s="1"/>
  <c r="F81" i="71"/>
  <c r="H81" i="71" s="1"/>
  <c r="F82" i="71"/>
  <c r="H82" i="71" s="1"/>
  <c r="F78" i="71"/>
  <c r="H78" i="71" s="1"/>
  <c r="F83" i="71"/>
  <c r="H83" i="71" s="1"/>
  <c r="F87" i="71"/>
  <c r="H87" i="71" s="1"/>
  <c r="J73" i="71" l="1"/>
  <c r="J67" i="71"/>
  <c r="J49" i="71"/>
  <c r="J23" i="71"/>
  <c r="J19" i="71"/>
  <c r="J11" i="71"/>
  <c r="J57" i="71"/>
  <c r="J37" i="71"/>
  <c r="J29" i="71"/>
  <c r="J85" i="71"/>
  <c r="J63" i="71"/>
  <c r="J25" i="71"/>
  <c r="J43" i="71"/>
  <c r="J83" i="71"/>
  <c r="J77" i="71"/>
  <c r="J69" i="71"/>
  <c r="J65" i="71"/>
  <c r="J61" i="71"/>
  <c r="J53" i="71"/>
  <c r="J45" i="71"/>
  <c r="J17" i="71"/>
  <c r="F89" i="71"/>
  <c r="H8" i="71"/>
  <c r="J81" i="71"/>
  <c r="J75" i="71"/>
  <c r="J71" i="71"/>
  <c r="J93" i="71" s="1"/>
  <c r="J59" i="71"/>
  <c r="J51" i="71"/>
  <c r="J47" i="71"/>
  <c r="J39" i="71"/>
  <c r="J35" i="71"/>
  <c r="J33" i="71"/>
  <c r="J27" i="71"/>
  <c r="J15" i="71"/>
  <c r="F91" i="71"/>
  <c r="H9" i="71"/>
  <c r="H91" i="71" s="1"/>
  <c r="J31" i="71"/>
  <c r="H91" i="70"/>
  <c r="N10" i="70"/>
  <c r="J79" i="71"/>
  <c r="J87" i="71"/>
  <c r="J55" i="71"/>
  <c r="J41" i="71"/>
  <c r="J21" i="71"/>
  <c r="J13" i="71"/>
  <c r="N91" i="70" l="1"/>
  <c r="P11" i="70"/>
  <c r="J9" i="71"/>
  <c r="H89" i="71"/>
  <c r="J91" i="71" l="1"/>
  <c r="J89" i="71"/>
  <c r="P93" i="70"/>
  <c r="P91" i="70"/>
  <c r="T91" i="70" l="1"/>
  <c r="T93" i="70" s="1"/>
  <c r="P92" i="70"/>
  <c r="N91" i="71"/>
  <c r="N93" i="71" s="1"/>
  <c r="J94" i="71"/>
  <c r="J92" i="71"/>
  <c r="H15" i="74" l="1"/>
  <c r="H17" i="74" s="1"/>
  <c r="H113" i="74" s="1"/>
  <c r="H86" i="74" l="1"/>
  <c r="H77" i="74"/>
  <c r="E15" i="74"/>
  <c r="E17" i="74" s="1"/>
  <c r="E113" i="74" s="1"/>
  <c r="D15" i="74"/>
  <c r="D17" i="74" s="1"/>
  <c r="D113" i="74" s="1"/>
  <c r="F15" i="74"/>
  <c r="F17" i="74" s="1"/>
  <c r="F113" i="74" s="1"/>
  <c r="G15" i="74"/>
  <c r="G17" i="74" s="1"/>
  <c r="G113" i="74" s="1"/>
  <c r="E86" i="74" l="1"/>
  <c r="E77" i="74"/>
  <c r="F86" i="74"/>
  <c r="F77" i="74"/>
  <c r="D86" i="74"/>
  <c r="D77" i="74"/>
  <c r="G86" i="74"/>
  <c r="G77" i="74"/>
  <c r="F63" i="74"/>
  <c r="C63" i="74"/>
  <c r="H63" i="74"/>
  <c r="I66" i="74" l="1"/>
  <c r="B116" i="74"/>
  <c r="B120" i="74"/>
  <c r="B118" i="74"/>
  <c r="G56" i="74"/>
  <c r="G109" i="74" s="1"/>
  <c r="H56" i="74"/>
  <c r="H109" i="74" s="1"/>
  <c r="D63" i="74"/>
  <c r="E63" i="74"/>
  <c r="G63" i="74"/>
  <c r="B63" i="74"/>
  <c r="H61" i="74" l="1"/>
  <c r="H72" i="74"/>
  <c r="G61" i="74"/>
  <c r="G72" i="74"/>
  <c r="C66" i="74"/>
  <c r="C120" i="74"/>
  <c r="C118" i="74"/>
  <c r="C116" i="74"/>
  <c r="D66" i="74"/>
  <c r="D118" i="74"/>
  <c r="D116" i="74"/>
  <c r="D120" i="74"/>
  <c r="E55" i="74"/>
  <c r="E100" i="74" s="1"/>
  <c r="H55" i="74"/>
  <c r="H100" i="74" s="1"/>
  <c r="F56" i="74"/>
  <c r="F109" i="74" s="1"/>
  <c r="E56" i="74"/>
  <c r="E109" i="74" s="1"/>
  <c r="G55" i="74"/>
  <c r="G100" i="74" s="1"/>
  <c r="F55" i="74"/>
  <c r="F100" i="74" s="1"/>
  <c r="F82" i="74" l="1"/>
  <c r="H71" i="74"/>
  <c r="H82" i="74"/>
  <c r="G71" i="74"/>
  <c r="G82" i="74"/>
  <c r="E82" i="74"/>
  <c r="E61" i="74"/>
  <c r="E72" i="74"/>
  <c r="F61" i="74"/>
  <c r="F72" i="74"/>
  <c r="F60" i="74"/>
  <c r="F71" i="74"/>
  <c r="E60" i="74"/>
  <c r="E71" i="74"/>
  <c r="G60" i="74"/>
  <c r="G68" i="74" s="1"/>
  <c r="G65" i="74" s="1"/>
  <c r="H60" i="74"/>
  <c r="H68" i="74" s="1"/>
  <c r="H65" i="74" s="1"/>
  <c r="H116" i="74" l="1"/>
  <c r="H120" i="74"/>
  <c r="H66" i="74"/>
  <c r="H118" i="74"/>
  <c r="G66" i="74"/>
  <c r="G118" i="74"/>
  <c r="G116" i="74"/>
  <c r="G120" i="74"/>
  <c r="F68" i="74"/>
  <c r="F65" i="74" s="1"/>
  <c r="E68" i="74"/>
  <c r="E65" i="74" s="1"/>
  <c r="E66" i="74" l="1"/>
  <c r="E120" i="74"/>
  <c r="E118" i="74"/>
  <c r="E116" i="74"/>
  <c r="F116" i="74"/>
  <c r="F120" i="74"/>
  <c r="F118" i="74"/>
  <c r="F66" i="74"/>
  <c r="B28" i="74" l="1"/>
  <c r="C27" i="74"/>
  <c r="C28" i="74"/>
  <c r="D27" i="74"/>
  <c r="E27" i="74"/>
  <c r="D26" i="74"/>
  <c r="D95" i="74" s="1"/>
  <c r="B26" i="74"/>
  <c r="B95" i="74" s="1"/>
  <c r="D28" i="74"/>
  <c r="E28" i="74"/>
  <c r="B27" i="74"/>
  <c r="C26" i="74"/>
  <c r="C95" i="74" s="1"/>
  <c r="E26" i="74"/>
  <c r="E95" i="74" s="1"/>
  <c r="E29" i="74" l="1"/>
  <c r="B29" i="74"/>
  <c r="C29" i="74"/>
  <c r="D29" i="74"/>
  <c r="H32" i="74" l="1"/>
  <c r="D32" i="74" l="1"/>
  <c r="C20" i="74"/>
  <c r="E20" i="74"/>
  <c r="G20" i="74"/>
  <c r="F32" i="74"/>
  <c r="B20" i="74"/>
  <c r="C32" i="74"/>
  <c r="F20" i="74"/>
  <c r="H21" i="74"/>
  <c r="E32" i="74"/>
  <c r="G32" i="74"/>
  <c r="H20" i="74"/>
  <c r="H34" i="74"/>
  <c r="B32" i="74"/>
  <c r="D20" i="74"/>
  <c r="H22" i="74"/>
  <c r="H33" i="74"/>
  <c r="F21" i="74" l="1"/>
  <c r="F22" i="74"/>
  <c r="B21" i="74"/>
  <c r="D21" i="74"/>
  <c r="C21" i="74"/>
  <c r="B22" i="74"/>
  <c r="E21" i="74"/>
  <c r="C22" i="74"/>
  <c r="E22" i="74"/>
  <c r="D22" i="74"/>
  <c r="G21" i="74"/>
  <c r="G22" i="74"/>
  <c r="F34" i="74"/>
  <c r="H35" i="74"/>
  <c r="H104" i="74" s="1"/>
  <c r="B34" i="74"/>
  <c r="H23" i="74"/>
  <c r="G33" i="74"/>
  <c r="D34" i="74"/>
  <c r="E33" i="74"/>
  <c r="G34" i="74"/>
  <c r="D33" i="74"/>
  <c r="C34" i="74"/>
  <c r="E34" i="74"/>
  <c r="C33" i="74"/>
  <c r="B33" i="74"/>
  <c r="F33" i="74"/>
  <c r="D23" i="74" l="1"/>
  <c r="G23" i="74"/>
  <c r="C23" i="74"/>
  <c r="B23" i="74"/>
  <c r="G35" i="74"/>
  <c r="G104" i="74" s="1"/>
  <c r="E23" i="74"/>
  <c r="F23" i="74"/>
  <c r="B35" i="74"/>
  <c r="B104" i="74" s="1"/>
  <c r="F35" i="74"/>
  <c r="F104" i="74" s="1"/>
  <c r="D35" i="74"/>
  <c r="D104" i="74" s="1"/>
  <c r="C35" i="74"/>
  <c r="C104" i="74" s="1"/>
  <c r="E35" i="74"/>
  <c r="E104" i="74" s="1"/>
  <c r="G26" i="74" l="1"/>
  <c r="G95" i="74" s="1"/>
  <c r="F28" i="74" l="1"/>
  <c r="G28" i="74"/>
  <c r="H27" i="74"/>
  <c r="G27" i="74"/>
  <c r="H28" i="74"/>
  <c r="F27" i="74"/>
  <c r="F26" i="74"/>
  <c r="F95" i="74" s="1"/>
  <c r="H26" i="74"/>
  <c r="H95" i="74" s="1"/>
  <c r="F29" i="74" l="1"/>
  <c r="G29" i="74"/>
  <c r="H29" i="74"/>
</calcChain>
</file>

<file path=xl/sharedStrings.xml><?xml version="1.0" encoding="utf-8"?>
<sst xmlns="http://schemas.openxmlformats.org/spreadsheetml/2006/main" count="816" uniqueCount="297">
  <si>
    <t xml:space="preserve"> </t>
  </si>
  <si>
    <t>Amount</t>
  </si>
  <si>
    <t>TOTAL</t>
  </si>
  <si>
    <t>Interest</t>
  </si>
  <si>
    <t>Totals</t>
  </si>
  <si>
    <t>Septic Impact Fee</t>
  </si>
  <si>
    <t>Total</t>
  </si>
  <si>
    <t>Years</t>
  </si>
  <si>
    <t>Interest Rate</t>
  </si>
  <si>
    <t>Input File Selected:</t>
  </si>
  <si>
    <t>Select Input File, using the button.</t>
  </si>
  <si>
    <t>Bond Anticipation Note Schedule</t>
  </si>
  <si>
    <t>Fields highlighed in yellow indicate user inputs.</t>
  </si>
  <si>
    <t>Design &amp; Construction</t>
  </si>
  <si>
    <t>dated date</t>
  </si>
  <si>
    <t>term (days)</t>
  </si>
  <si>
    <t>loan amount</t>
  </si>
  <si>
    <t>interest rate</t>
  </si>
  <si>
    <t>NET</t>
  </si>
  <si>
    <t>INTEREST</t>
  </si>
  <si>
    <t>TERM</t>
  </si>
  <si>
    <t>30/360 Day Count</t>
  </si>
  <si>
    <t xml:space="preserve">&amp; PRINCIPAL </t>
  </si>
  <si>
    <t>FY</t>
  </si>
  <si>
    <t>DATED</t>
  </si>
  <si>
    <t>DUE</t>
  </si>
  <si>
    <t>AMOUNT</t>
  </si>
  <si>
    <t>TYPE</t>
  </si>
  <si>
    <t>(IN DAYS)</t>
  </si>
  <si>
    <t>RATE</t>
  </si>
  <si>
    <t>PREMIUM</t>
  </si>
  <si>
    <t>PAYDOWNS</t>
  </si>
  <si>
    <t>New Money</t>
  </si>
  <si>
    <t xml:space="preserve"> FISCAL 2000</t>
  </si>
  <si>
    <t>Renewal</t>
  </si>
  <si>
    <t xml:space="preserve"> FISCAL 2001</t>
  </si>
  <si>
    <t xml:space="preserve"> FISCAL 2002</t>
  </si>
  <si>
    <t xml:space="preserve"> FISCAL 2003</t>
  </si>
  <si>
    <t>New Money - High School*</t>
  </si>
  <si>
    <t xml:space="preserve"> FISCAL 2005</t>
  </si>
  <si>
    <t>Renewal - High School*</t>
  </si>
  <si>
    <t xml:space="preserve"> FISCAL 2006</t>
  </si>
  <si>
    <t>New Money - Middle School</t>
  </si>
  <si>
    <t xml:space="preserve"> FISCAL 2007</t>
  </si>
  <si>
    <t>New Money - High School</t>
  </si>
  <si>
    <t>Renewal - High School.*</t>
  </si>
  <si>
    <t>$6,750,000 BANs Paid  with Grant Proceeds on 2/1/08*</t>
  </si>
  <si>
    <t xml:space="preserve"> FISCAL 2008</t>
  </si>
  <si>
    <t>Renewal - High School</t>
  </si>
  <si>
    <t>New Money - High School *</t>
  </si>
  <si>
    <t>$6,500,000 BANs Paid  with Grant Proceeds on 1/30/09*</t>
  </si>
  <si>
    <t xml:space="preserve"> FISCAL 2009</t>
  </si>
  <si>
    <t>New Money - Middle School Land Acquisition</t>
  </si>
  <si>
    <t>New Money - Middle School Construction</t>
  </si>
  <si>
    <t xml:space="preserve"> FISCAL 2010</t>
  </si>
  <si>
    <t>New Money - Design</t>
  </si>
  <si>
    <t>New Money - Middle School Land Acquisition*</t>
  </si>
  <si>
    <t>Renewal - Middle School Land Acquisition/Construction*</t>
  </si>
  <si>
    <t>New Money Middle School Land Acquisition</t>
  </si>
  <si>
    <t>New Money - Construction</t>
  </si>
  <si>
    <t>Renewal - Middle School Land Acquisition/Construction (1)*</t>
  </si>
  <si>
    <t>Principal Paydown (1)</t>
  </si>
  <si>
    <t>Renewal - Middle School Land Acquisition*</t>
  </si>
  <si>
    <t>Renewal - Construction</t>
  </si>
  <si>
    <t>Renewal - Middle School Construction</t>
  </si>
  <si>
    <t>Renewal - Middle School Construction (1)*</t>
  </si>
  <si>
    <t>Renewal Middle School Construction</t>
  </si>
  <si>
    <t xml:space="preserve"> FISCAL 2015</t>
  </si>
  <si>
    <t>Renewal - Middle School</t>
  </si>
  <si>
    <t xml:space="preserve"> FISCAL 2016</t>
  </si>
  <si>
    <t xml:space="preserve"> FISCAL 2017</t>
  </si>
  <si>
    <t xml:space="preserve"> FISCAL 2018</t>
  </si>
  <si>
    <t>(1) It has been assumed that this portion of the land acquisition cost is associated with reimburseable demolition and other expenses.  A statutory paydown would be required at the 9/15/2012 and 9/15/2013 BAN maturities, but it is assumed that the City will be expecting sufficient reimbursement to roll these BANs as "new money".</t>
  </si>
  <si>
    <t>High School</t>
  </si>
  <si>
    <t>Total Project Cost</t>
  </si>
  <si>
    <t xml:space="preserve">Approved Project Costs </t>
  </si>
  <si>
    <t>Reimbursement %</t>
  </si>
  <si>
    <t>State's Share of Approved Project Costs</t>
  </si>
  <si>
    <t>Local Share of Total Project Cost</t>
  </si>
  <si>
    <t>75% Progress Principal Payment September 2009</t>
  </si>
  <si>
    <t>75% Progress Principal Payment September 2010</t>
  </si>
  <si>
    <t>(Against Approved Project Costs assuming all BAN proceeds have been spent)</t>
  </si>
  <si>
    <t>75% Progress Interest Payment September 2009</t>
  </si>
  <si>
    <t>75% Progress Interest Payment September 2010</t>
  </si>
  <si>
    <t>(Against BAN Interest on Approved Project Costs)</t>
  </si>
  <si>
    <t>Final Audit Payment September 2010</t>
  </si>
  <si>
    <t>Final Audit Payment February 2011</t>
  </si>
  <si>
    <t>(Total Approved Project Costs minus Progress Principal Payment)</t>
  </si>
  <si>
    <t>Remaining Local Share of Bonds to be Dated 9/1/10</t>
  </si>
  <si>
    <t>Remaining Local Share of Bonds to be Dated 2/1/11</t>
  </si>
  <si>
    <t xml:space="preserve">Total Local Share </t>
  </si>
  <si>
    <t>(Net of Final Audit Payments)</t>
  </si>
  <si>
    <t xml:space="preserve">State's share of project costs is not issued in BANs.  Reimbursement is expected to be received within 15 days of submission of invoices for eligible costs.  </t>
  </si>
  <si>
    <t>Local Share Issued as GO Bonds 3/1/04</t>
  </si>
  <si>
    <t>We need the City to confirm how prior issues were spent.</t>
  </si>
  <si>
    <t>Paydown for BANs originally issued 6/28/01</t>
  </si>
  <si>
    <t>Local Share Issued as GO Bonds 9/1/10</t>
  </si>
  <si>
    <t>Local Share Issued as 2% Loan from MSBA 1/15/11</t>
  </si>
  <si>
    <t>term (years)</t>
  </si>
  <si>
    <t>Approximate Annual (CY) P&amp;I Payment Based on Level Debt Service</t>
  </si>
  <si>
    <t>APPROXIMATE EQUAL PRINCIPAL DEBT SERVICE SCHEDULE</t>
  </si>
  <si>
    <t>Calendar year</t>
  </si>
  <si>
    <t>Principal Amount</t>
  </si>
  <si>
    <t>Total P&amp;I</t>
  </si>
  <si>
    <t>Start Date</t>
  </si>
  <si>
    <t>Projected Debt Service</t>
  </si>
  <si>
    <t>Term (Years)</t>
  </si>
  <si>
    <t>SRF Borrowing</t>
  </si>
  <si>
    <t>Loan Amount</t>
  </si>
  <si>
    <t>Princ. Forgiv.</t>
  </si>
  <si>
    <t>Admin</t>
  </si>
  <si>
    <t>Origination</t>
  </si>
  <si>
    <t>Date</t>
  </si>
  <si>
    <t>Principal</t>
  </si>
  <si>
    <t>Fee</t>
  </si>
  <si>
    <t>Due</t>
  </si>
  <si>
    <t>Total Due</t>
  </si>
  <si>
    <t>Hidden Calculations</t>
  </si>
  <si>
    <t>Average</t>
  </si>
  <si>
    <t>Peak</t>
  </si>
  <si>
    <t>Int, Adm, Orin</t>
  </si>
  <si>
    <t>This worksheet is for SRF financing of the local share, 20 years, to provide reasonable but not absolute debt schedules.</t>
  </si>
  <si>
    <t>The capital amount comes from the calculator sheet and the amount is selected by the user.</t>
  </si>
  <si>
    <t>The user selects the interest rate, currently either 0% or 2%, but user can select any interest rate, entered as x.xx%.</t>
  </si>
  <si>
    <t>The administration fee is set at 0.075% of the outstanding principal owed, but can be changed by the user.  This is an annual payment.</t>
  </si>
  <si>
    <t>The origination fee is set a 0.075% of the loan amount, but can be changed by the user.  This is a one-time, first-year payment</t>
  </si>
  <si>
    <t>Need to change first year to no principal</t>
  </si>
  <si>
    <t>USDA Level Payment Borrowing</t>
  </si>
  <si>
    <t>This worksheet is for USDA level payment financing of the local share, 40 years, to provide reasonable but not absolute debt schedules.</t>
  </si>
  <si>
    <t>The user selects the interest rate, currently either 2.635, 3.500 or 4.375 depending on MHI, but user can select any interest rate, entered as x.xx%.</t>
  </si>
  <si>
    <t>par amount</t>
  </si>
  <si>
    <t>APPROXIMATE EQUAL APPORTIONMENT BETTERMENT SCHEDULE</t>
  </si>
  <si>
    <t>Apportionment</t>
  </si>
  <si>
    <t>Committed Interest</t>
  </si>
  <si>
    <t xml:space="preserve">Assumes betterment assessed on January tax bills; if date provided is before 10/31, </t>
  </si>
  <si>
    <t xml:space="preserve">      schedule starts January of the next year and, if not, January of the year after that.</t>
  </si>
  <si>
    <t>Numbers may be off due to rounding</t>
  </si>
  <si>
    <t>Amount to be Financed</t>
  </si>
  <si>
    <t>Replacement Costs (per septic system)</t>
  </si>
  <si>
    <t>Pumping Costs (per septic system)</t>
  </si>
  <si>
    <t>Total Costs (per septic system)</t>
  </si>
  <si>
    <t>Total Septic Impact Fee</t>
  </si>
  <si>
    <t>Annual Septic Impact Fee</t>
  </si>
  <si>
    <t>Annual Cost Per Septic System</t>
  </si>
  <si>
    <t>Borrowing Information</t>
  </si>
  <si>
    <t>Type:</t>
  </si>
  <si>
    <t>Date:</t>
  </si>
  <si>
    <t>Project:</t>
  </si>
  <si>
    <t>Amount:</t>
  </si>
  <si>
    <t>Term:</t>
  </si>
  <si>
    <t>Rate:</t>
  </si>
  <si>
    <t>Revenue Type</t>
  </si>
  <si>
    <t>Cost Type</t>
  </si>
  <si>
    <t>Public-Private Offset:</t>
  </si>
  <si>
    <t>Project</t>
  </si>
  <si>
    <t>Customer Rate Scenarios</t>
  </si>
  <si>
    <t>PRELIMINARY - FOR DISCUSSION ONLY - TO BE REVISED</t>
  </si>
  <si>
    <t xml:space="preserve">Customer Rate Scenarios </t>
  </si>
  <si>
    <t>Case 2</t>
  </si>
  <si>
    <t>Case 3</t>
  </si>
  <si>
    <t>Case 4</t>
  </si>
  <si>
    <t>Case 5</t>
  </si>
  <si>
    <t>Case 6</t>
  </si>
  <si>
    <t>Case 7</t>
  </si>
  <si>
    <t>Assumptions</t>
  </si>
  <si>
    <t>CWMP                 (2010 Dollars)</t>
  </si>
  <si>
    <t>Betterment</t>
  </si>
  <si>
    <t>Bond Years</t>
  </si>
  <si>
    <t>Interest on Bond</t>
  </si>
  <si>
    <t>Grant</t>
  </si>
  <si>
    <t>Septage Revenue Yearly</t>
  </si>
  <si>
    <t>Special Assessment (One Time Charge) TBD</t>
  </si>
  <si>
    <t>Betterment / Benefit Fee (One Time Charge)</t>
  </si>
  <si>
    <t>Connection Charges (One Time Charge)</t>
  </si>
  <si>
    <t>N/A</t>
  </si>
  <si>
    <t>User Fees (Annual Charge)</t>
  </si>
  <si>
    <t>Total Annual Charge</t>
  </si>
  <si>
    <t>Cost per Customer - Systemwide Average - Full Cost</t>
  </si>
  <si>
    <t xml:space="preserve">Cost per Customer - Systemwide Average </t>
  </si>
  <si>
    <t>* CWMP Assumes 20% betterment, 80% property taxes; CWMP Estimates in 2010 dollars</t>
  </si>
  <si>
    <t xml:space="preserve">$5,000 connection fee, $18,000 septic repalcement fee, both financed by town </t>
  </si>
  <si>
    <t>User Breakdown</t>
  </si>
  <si>
    <t>Non-Traditional Technology Area</t>
  </si>
  <si>
    <t>On-Site Septic</t>
  </si>
  <si>
    <t>Number</t>
  </si>
  <si>
    <t>Percentage</t>
  </si>
  <si>
    <t>Property Tax Rate</t>
  </si>
  <si>
    <t>Septage Revenue</t>
  </si>
  <si>
    <t>Connection Charges</t>
  </si>
  <si>
    <t>Downtown Area</t>
  </si>
  <si>
    <t>Meetinghouse Pond Area</t>
  </si>
  <si>
    <t>Project Years</t>
  </si>
  <si>
    <t>User Inputs</t>
  </si>
  <si>
    <t>Cost per gallon</t>
  </si>
  <si>
    <t>Gallons per day</t>
  </si>
  <si>
    <t>Days per year</t>
  </si>
  <si>
    <t>Total Septage Revenue</t>
  </si>
  <si>
    <t>Notes</t>
  </si>
  <si>
    <t>Properties with septic systems</t>
  </si>
  <si>
    <t>Septic systems in use</t>
  </si>
  <si>
    <t>Water Quality and Wastewater Planning Program</t>
  </si>
  <si>
    <t>Town of Orleans</t>
  </si>
  <si>
    <t xml:space="preserve"> Non-Traditional Technology Area - Per Parcel</t>
  </si>
  <si>
    <t xml:space="preserve"> Downtown Area - Per Parcel</t>
  </si>
  <si>
    <t xml:space="preserve"> Downtown Area</t>
  </si>
  <si>
    <t xml:space="preserve"> Meetinghouse Pond Area</t>
  </si>
  <si>
    <t xml:space="preserve"> Meetinghouse Pond Area - Per Parcel</t>
  </si>
  <si>
    <t xml:space="preserve"> Non-Traditional Technology Area</t>
  </si>
  <si>
    <t>Contingency</t>
  </si>
  <si>
    <t>Inspection and Monitoring Costs (per septic system)</t>
  </si>
  <si>
    <r>
      <rPr>
        <b/>
        <sz val="11"/>
        <color theme="1"/>
        <rFont val="Calibri"/>
        <family val="2"/>
        <scheme val="minor"/>
      </rPr>
      <t xml:space="preserve">Inspection and Monitoring Costs - </t>
    </r>
    <r>
      <rPr>
        <sz val="11"/>
        <color theme="1"/>
        <rFont val="Calibri"/>
        <family val="2"/>
        <scheme val="minor"/>
      </rPr>
      <t>Inspection and monitoring costs are $200 per year per system.</t>
    </r>
  </si>
  <si>
    <r>
      <rPr>
        <b/>
        <sz val="11"/>
        <color theme="1"/>
        <rFont val="Calibri"/>
        <family val="2"/>
        <scheme val="minor"/>
      </rPr>
      <t xml:space="preserve">Contingency - </t>
    </r>
    <r>
      <rPr>
        <sz val="11"/>
        <color theme="1"/>
        <rFont val="Calibri"/>
        <family val="2"/>
        <scheme val="minor"/>
      </rPr>
      <t>Based on 50% of Inspection and Monitoring Costs and 50% of Pumping Costs.</t>
    </r>
  </si>
  <si>
    <r>
      <rPr>
        <b/>
        <sz val="11"/>
        <color theme="1"/>
        <rFont val="Calibri"/>
        <family val="2"/>
        <scheme val="minor"/>
      </rPr>
      <t>Pumping Costs</t>
    </r>
    <r>
      <rPr>
        <sz val="11"/>
        <color theme="1"/>
        <rFont val="Calibri"/>
        <family val="2"/>
        <scheme val="minor"/>
      </rPr>
      <t xml:space="preserve"> - On average, a system is pumped every three years.  The cost for each pumping is assumed to be $300.  </t>
    </r>
  </si>
  <si>
    <t xml:space="preserve">The calculations presented here are based on the Septic Impact Fee included in the financial model created for the Cape </t>
  </si>
  <si>
    <r>
      <rPr>
        <b/>
        <sz val="11"/>
        <color theme="1"/>
        <rFont val="Calibri"/>
        <family val="2"/>
        <scheme val="minor"/>
      </rPr>
      <t xml:space="preserve">Replacement Costs - </t>
    </r>
    <r>
      <rPr>
        <sz val="1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he assumptions used for CCC </t>
    </r>
    <r>
      <rPr>
        <sz val="11"/>
        <rFont val="Calibri"/>
        <family val="2"/>
        <scheme val="minor"/>
      </rPr>
      <t xml:space="preserve">were that each replacement would cost $13,000.  The cost to use for </t>
    </r>
  </si>
  <si>
    <t>Orleans should be higher, around $20,000.  Costs in this calculation can be zeroed out to represent the continuation</t>
  </si>
  <si>
    <t>of the owners' responsibility to pay for replacements on their own.</t>
  </si>
  <si>
    <t xml:space="preserve">Cod Commission.  The septic systems and properties numbers have been updated here to reflect the properties in </t>
  </si>
  <si>
    <t>Orleans that have on-site systems.</t>
  </si>
  <si>
    <t>Case 1 (Baseline)</t>
  </si>
  <si>
    <t xml:space="preserve">100% Tax (Capital)  User Fees (O&amp;M&amp;M&amp;R)     Conventional Financing   </t>
  </si>
  <si>
    <t>Betterments</t>
  </si>
  <si>
    <t>Paid in Full %</t>
  </si>
  <si>
    <t>Enter a number 0% to 100%.</t>
  </si>
  <si>
    <t>NT Betterment %</t>
  </si>
  <si>
    <t>0% means NT capital costs are not eligible for betterments</t>
  </si>
  <si>
    <t>100% means NT capital costs are fully eligible for betterments.</t>
  </si>
  <si>
    <t>Default is 20%, to match Kluge model, which means 20% of NT</t>
  </si>
  <si>
    <t>capital costs are eligible for betterments; the rest paid by taxes.</t>
  </si>
  <si>
    <t xml:space="preserve"> Non-Traditional Technology Area (O&amp;M)</t>
  </si>
  <si>
    <t xml:space="preserve"> Non-Traditional Technology Area (Septic Impact Fee)</t>
  </si>
  <si>
    <t>Systemwide Average using Rows 41-43 &amp; Num Users</t>
  </si>
  <si>
    <t>Average Wastewater Cost Comparisons (per user)</t>
  </si>
  <si>
    <t>Orleans Costs Currently</t>
  </si>
  <si>
    <t>Diff from Systemwide Average Row Above</t>
  </si>
  <si>
    <t>Avg. Cape Communities (Falmouth, Chatham, B'Stable)</t>
  </si>
  <si>
    <t>Avg. State-wide</t>
  </si>
  <si>
    <t>Total Capital, Interest &amp; OM &amp; M &amp; R (PV)</t>
  </si>
  <si>
    <t>Net Total Capital, Interest &amp; OM &amp; M &amp; R (PV)</t>
  </si>
  <si>
    <t>Capital Costs</t>
  </si>
  <si>
    <t xml:space="preserve"> Downtown Area </t>
  </si>
  <si>
    <t xml:space="preserve"> Meetinghouse Pond Area </t>
  </si>
  <si>
    <t xml:space="preserve"> Non-Traditional Technology Area </t>
  </si>
  <si>
    <t>Financing Costs</t>
  </si>
  <si>
    <t>O&amp;M&amp;M&amp;R Costs</t>
  </si>
  <si>
    <t>Averages from 2014 Tighe and Bond Sewer Rate Survey</t>
  </si>
  <si>
    <t>Capital &amp; Financing (Downtown)</t>
  </si>
  <si>
    <t>Capital &amp; Financing (Meetinghouse Pond)</t>
  </si>
  <si>
    <t>Capital &amp; Financing (NT Area)</t>
  </si>
  <si>
    <t>O&amp;M&amp;M&amp;R (including Septage Revenue)</t>
  </si>
  <si>
    <t>Septic Impact Fee (Capital)</t>
  </si>
  <si>
    <t>Septic Impact Fee (O&amp;M)</t>
  </si>
  <si>
    <t>Betterment / Benefit Fee</t>
  </si>
  <si>
    <t>User Fees</t>
  </si>
  <si>
    <t>Total Project</t>
  </si>
  <si>
    <t>Downtown</t>
  </si>
  <si>
    <t>Meetinghouse Pond</t>
  </si>
  <si>
    <t>NT Area</t>
  </si>
  <si>
    <t>Property Tax (Annual Charge)</t>
  </si>
  <si>
    <t>Property Tax</t>
  </si>
  <si>
    <t>General influence of financial metric on average rate compared to Baseline:</t>
  </si>
  <si>
    <t>Downtown Privatized 100% / Rest of Capital Paid via Taxes for Area Only</t>
  </si>
  <si>
    <t>Case 1 with no MH Pond</t>
  </si>
  <si>
    <t>No Septage Revenue Costs Reduction</t>
  </si>
  <si>
    <t>Capital Reduction</t>
  </si>
  <si>
    <t>O&amp;M Reduction</t>
  </si>
  <si>
    <t>O&amp;M&amp;R&amp;M Check</t>
  </si>
  <si>
    <t>User Charges</t>
  </si>
  <si>
    <t>DT</t>
  </si>
  <si>
    <t>MH</t>
  </si>
  <si>
    <t>NT</t>
  </si>
  <si>
    <t>Total Revenue</t>
  </si>
  <si>
    <t>O&amp;M&amp;R total</t>
  </si>
  <si>
    <t>Diff</t>
  </si>
  <si>
    <t>Revenue for Capital/Financing</t>
  </si>
  <si>
    <t>Connection Charges Revenue</t>
  </si>
  <si>
    <t>Betterment Revenue</t>
  </si>
  <si>
    <t>Tax Revenue</t>
  </si>
  <si>
    <t>Capital/Financing Check - Program Level</t>
  </si>
  <si>
    <t>Total Capital/Financing Revenue</t>
  </si>
  <si>
    <t>Total Capital/Financing Costs</t>
  </si>
  <si>
    <t>Capital/Financing Check - Downtown Area Only</t>
  </si>
  <si>
    <t>Area Revenue</t>
  </si>
  <si>
    <t>Capital/Financing Total</t>
  </si>
  <si>
    <t>Capital/Financing Check - MH Pond Area Only</t>
  </si>
  <si>
    <t>Capital/Financing Check - NT Area Only</t>
  </si>
  <si>
    <t>Annual User Charge Check</t>
  </si>
  <si>
    <t>Total Program</t>
  </si>
  <si>
    <t>Systemwide User Charge Check</t>
  </si>
  <si>
    <t>Total Users</t>
  </si>
  <si>
    <t>Cost per User per Year</t>
  </si>
  <si>
    <t>Systemwide Average</t>
  </si>
  <si>
    <t>Case 8</t>
  </si>
  <si>
    <t>Grant / Design/Build Savings</t>
  </si>
  <si>
    <t>General influence of financial metric on average rate compared to Baseline (Downtown area):</t>
  </si>
  <si>
    <t>General influence of financial metric on average rate compared to Baseline (Meetinghouse Pond area):</t>
  </si>
  <si>
    <t>General influence of financial metric on average rate compared to Baseline (NT Technology area):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</si>
</sst>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_(* #,##0_);_(* \(#,##0\);_(* &quot;-&quot;??_);_(@_)"/>
    <numFmt numFmtId="167" formatCode="0.000%"/>
    <numFmt numFmtId="168" formatCode="&quot;$&quot;#,##0"/>
  </numFmts>
  <fonts count="54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sz val="16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88">
    <xf numFmtId="0" fontId="0" fillId="0" borderId="0"/>
    <xf numFmtId="44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4" fillId="0" borderId="0"/>
    <xf numFmtId="44" fontId="34" fillId="0" borderId="0" applyFont="0" applyFill="0" applyBorder="0" applyAlignment="0" applyProtection="0"/>
    <xf numFmtId="0" fontId="35" fillId="0" borderId="0"/>
    <xf numFmtId="44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5" fillId="0" borderId="0"/>
    <xf numFmtId="43" fontId="34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4" fillId="0" borderId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3" fillId="0" borderId="0"/>
    <xf numFmtId="44" fontId="33" fillId="0" borderId="0" applyFont="0" applyFill="0" applyBorder="0" applyAlignment="0" applyProtection="0"/>
    <xf numFmtId="0" fontId="32" fillId="0" borderId="0"/>
    <xf numFmtId="44" fontId="32" fillId="0" borderId="0" applyFont="0" applyFill="0" applyBorder="0" applyAlignment="0" applyProtection="0"/>
    <xf numFmtId="0" fontId="31" fillId="0" borderId="0"/>
    <xf numFmtId="44" fontId="31" fillId="0" borderId="0" applyFont="0" applyFill="0" applyBorder="0" applyAlignment="0" applyProtection="0"/>
    <xf numFmtId="0" fontId="30" fillId="0" borderId="0"/>
    <xf numFmtId="44" fontId="30" fillId="0" borderId="0" applyFont="0" applyFill="0" applyBorder="0" applyAlignment="0" applyProtection="0"/>
    <xf numFmtId="0" fontId="29" fillId="0" borderId="0"/>
    <xf numFmtId="44" fontId="29" fillId="0" borderId="0" applyFont="0" applyFill="0" applyBorder="0" applyAlignment="0" applyProtection="0"/>
    <xf numFmtId="0" fontId="28" fillId="0" borderId="0"/>
    <xf numFmtId="44" fontId="28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0" fontId="26" fillId="0" borderId="0"/>
    <xf numFmtId="44" fontId="26" fillId="0" borderId="0" applyFont="0" applyFill="0" applyBorder="0" applyAlignment="0" applyProtection="0"/>
    <xf numFmtId="0" fontId="25" fillId="0" borderId="0"/>
    <xf numFmtId="44" fontId="25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38" fillId="0" borderId="0"/>
    <xf numFmtId="0" fontId="18" fillId="0" borderId="0"/>
    <xf numFmtId="44" fontId="18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24">
    <xf numFmtId="0" fontId="0" fillId="0" borderId="0" xfId="0"/>
    <xf numFmtId="0" fontId="41" fillId="0" borderId="0" xfId="3" applyFont="1"/>
    <xf numFmtId="0" fontId="35" fillId="0" borderId="9" xfId="5" applyFont="1" applyBorder="1"/>
    <xf numFmtId="5" fontId="35" fillId="0" borderId="0" xfId="5" applyNumberFormat="1" applyFont="1" applyAlignment="1" applyProtection="1">
      <alignment horizontal="left"/>
    </xf>
    <xf numFmtId="0" fontId="35" fillId="0" borderId="0" xfId="5" applyFont="1" applyBorder="1"/>
    <xf numFmtId="0" fontId="37" fillId="3" borderId="0" xfId="3" applyFont="1" applyFill="1" applyAlignment="1">
      <alignment horizontal="left"/>
    </xf>
    <xf numFmtId="0" fontId="42" fillId="3" borderId="0" xfId="3" applyFont="1" applyFill="1" applyAlignment="1">
      <alignment horizontal="center"/>
    </xf>
    <xf numFmtId="0" fontId="35" fillId="0" borderId="0" xfId="5" applyFont="1"/>
    <xf numFmtId="0" fontId="34" fillId="0" borderId="0" xfId="3"/>
    <xf numFmtId="0" fontId="35" fillId="0" borderId="12" xfId="5" applyFont="1" applyBorder="1"/>
    <xf numFmtId="44" fontId="35" fillId="0" borderId="0" xfId="6" applyFont="1"/>
    <xf numFmtId="5" fontId="43" fillId="0" borderId="0" xfId="5" applyNumberFormat="1" applyFont="1" applyBorder="1" applyProtection="1"/>
    <xf numFmtId="14" fontId="34" fillId="3" borderId="0" xfId="3" applyNumberFormat="1" applyFill="1" applyProtection="1">
      <protection locked="0"/>
    </xf>
    <xf numFmtId="0" fontId="34" fillId="3" borderId="0" xfId="3" applyFill="1" applyProtection="1">
      <protection locked="0"/>
    </xf>
    <xf numFmtId="5" fontId="35" fillId="0" borderId="0" xfId="5" applyNumberFormat="1" applyFont="1" applyProtection="1"/>
    <xf numFmtId="42" fontId="34" fillId="3" borderId="0" xfId="3" applyNumberFormat="1" applyFill="1" applyProtection="1">
      <protection locked="0"/>
    </xf>
    <xf numFmtId="0" fontId="35" fillId="0" borderId="13" xfId="5" applyFont="1" applyBorder="1"/>
    <xf numFmtId="0" fontId="34" fillId="0" borderId="13" xfId="3" applyBorder="1"/>
    <xf numFmtId="5" fontId="35" fillId="0" borderId="13" xfId="5" applyNumberFormat="1" applyFont="1" applyBorder="1" applyProtection="1"/>
    <xf numFmtId="0" fontId="35" fillId="0" borderId="9" xfId="3" applyFont="1" applyBorder="1"/>
    <xf numFmtId="5" fontId="35" fillId="0" borderId="0" xfId="3" applyNumberFormat="1" applyFont="1" applyBorder="1" applyProtection="1"/>
    <xf numFmtId="5" fontId="35" fillId="0" borderId="0" xfId="3" applyNumberFormat="1" applyFont="1" applyProtection="1"/>
    <xf numFmtId="0" fontId="35" fillId="0" borderId="0" xfId="3" applyFont="1"/>
    <xf numFmtId="5" fontId="35" fillId="0" borderId="0" xfId="3" applyNumberFormat="1" applyFont="1" applyAlignment="1" applyProtection="1">
      <alignment horizontal="center"/>
    </xf>
    <xf numFmtId="0" fontId="35" fillId="0" borderId="12" xfId="3" applyFont="1" applyBorder="1"/>
    <xf numFmtId="5" fontId="35" fillId="0" borderId="0" xfId="3" quotePrefix="1" applyNumberFormat="1" applyFont="1" applyAlignment="1" applyProtection="1">
      <alignment horizontal="center"/>
    </xf>
    <xf numFmtId="5" fontId="35" fillId="0" borderId="13" xfId="3" quotePrefix="1" applyNumberFormat="1" applyFont="1" applyBorder="1" applyAlignment="1" applyProtection="1">
      <alignment horizontal="center"/>
    </xf>
    <xf numFmtId="5" fontId="35" fillId="0" borderId="13" xfId="3" applyNumberFormat="1" applyFont="1" applyBorder="1" applyAlignment="1" applyProtection="1">
      <alignment horizontal="center"/>
    </xf>
    <xf numFmtId="5" fontId="35" fillId="0" borderId="13" xfId="3" applyNumberFormat="1" applyFont="1" applyBorder="1" applyProtection="1"/>
    <xf numFmtId="0" fontId="44" fillId="0" borderId="9" xfId="3" applyFont="1" applyBorder="1"/>
    <xf numFmtId="14" fontId="35" fillId="0" borderId="0" xfId="3" applyNumberFormat="1" applyFont="1" applyBorder="1" applyProtection="1"/>
    <xf numFmtId="165" fontId="35" fillId="0" borderId="0" xfId="4" applyNumberFormat="1" applyFont="1" applyProtection="1"/>
    <xf numFmtId="5" fontId="35" fillId="0" borderId="0" xfId="3" applyNumberFormat="1" applyFont="1" applyAlignment="1" applyProtection="1">
      <alignment horizontal="left"/>
    </xf>
    <xf numFmtId="3" fontId="35" fillId="0" borderId="0" xfId="3" applyNumberFormat="1" applyFont="1" applyAlignment="1" applyProtection="1">
      <alignment horizontal="right"/>
    </xf>
    <xf numFmtId="10" fontId="35" fillId="0" borderId="0" xfId="7" applyNumberFormat="1" applyFont="1" applyAlignment="1" applyProtection="1">
      <alignment horizontal="right"/>
    </xf>
    <xf numFmtId="0" fontId="44" fillId="0" borderId="0" xfId="5" applyFont="1"/>
    <xf numFmtId="5" fontId="35" fillId="0" borderId="0" xfId="3" quotePrefix="1" applyNumberFormat="1" applyFont="1" applyAlignment="1" applyProtection="1">
      <alignment horizontal="left"/>
    </xf>
    <xf numFmtId="14" fontId="35" fillId="0" borderId="0" xfId="3" applyNumberFormat="1" applyFont="1"/>
    <xf numFmtId="165" fontId="35" fillId="0" borderId="0" xfId="4" applyNumberFormat="1" applyFont="1"/>
    <xf numFmtId="5" fontId="35" fillId="0" borderId="0" xfId="6" applyNumberFormat="1" applyFont="1"/>
    <xf numFmtId="0" fontId="35" fillId="0" borderId="0" xfId="3" applyFont="1" applyAlignment="1">
      <alignment horizontal="right"/>
    </xf>
    <xf numFmtId="14" fontId="44" fillId="0" borderId="0" xfId="3" applyNumberFormat="1" applyFont="1" applyBorder="1" applyProtection="1"/>
    <xf numFmtId="165" fontId="44" fillId="0" borderId="0" xfId="4" applyNumberFormat="1" applyFont="1"/>
    <xf numFmtId="5" fontId="44" fillId="0" borderId="0" xfId="3" applyNumberFormat="1" applyFont="1" applyAlignment="1" applyProtection="1">
      <alignment horizontal="left"/>
    </xf>
    <xf numFmtId="3" fontId="44" fillId="0" borderId="0" xfId="3" applyNumberFormat="1" applyFont="1" applyAlignment="1" applyProtection="1">
      <alignment horizontal="right"/>
    </xf>
    <xf numFmtId="5" fontId="44" fillId="0" borderId="0" xfId="3" applyNumberFormat="1" applyFont="1" applyProtection="1"/>
    <xf numFmtId="10" fontId="44" fillId="0" borderId="0" xfId="7" applyNumberFormat="1" applyFont="1" applyAlignment="1" applyProtection="1">
      <alignment horizontal="right"/>
    </xf>
    <xf numFmtId="0" fontId="44" fillId="0" borderId="12" xfId="3" applyFont="1" applyBorder="1"/>
    <xf numFmtId="44" fontId="44" fillId="0" borderId="0" xfId="6" applyFont="1"/>
    <xf numFmtId="0" fontId="35" fillId="0" borderId="2" xfId="3" applyFont="1" applyBorder="1"/>
    <xf numFmtId="14" fontId="44" fillId="0" borderId="0" xfId="3" applyNumberFormat="1" applyFont="1"/>
    <xf numFmtId="0" fontId="44" fillId="0" borderId="0" xfId="3" applyFont="1"/>
    <xf numFmtId="165" fontId="35" fillId="0" borderId="0" xfId="4" applyNumberFormat="1" applyFont="1" applyBorder="1"/>
    <xf numFmtId="0" fontId="35" fillId="0" borderId="0" xfId="3" applyFont="1" applyBorder="1"/>
    <xf numFmtId="3" fontId="35" fillId="0" borderId="0" xfId="3" applyNumberFormat="1" applyFont="1" applyBorder="1" applyAlignment="1" applyProtection="1">
      <alignment horizontal="right"/>
    </xf>
    <xf numFmtId="167" fontId="35" fillId="0" borderId="0" xfId="7" applyNumberFormat="1" applyFont="1" applyBorder="1" applyAlignment="1" applyProtection="1">
      <alignment horizontal="right"/>
    </xf>
    <xf numFmtId="10" fontId="35" fillId="0" borderId="0" xfId="7" applyNumberFormat="1" applyFont="1" applyBorder="1" applyAlignment="1" applyProtection="1">
      <alignment horizontal="right"/>
    </xf>
    <xf numFmtId="5" fontId="35" fillId="0" borderId="0" xfId="3" applyNumberFormat="1" applyFont="1" applyBorder="1" applyAlignment="1" applyProtection="1">
      <alignment horizontal="left"/>
    </xf>
    <xf numFmtId="165" fontId="44" fillId="0" borderId="0" xfId="4" applyNumberFormat="1" applyFont="1" applyBorder="1"/>
    <xf numFmtId="5" fontId="44" fillId="0" borderId="0" xfId="3" applyNumberFormat="1" applyFont="1" applyBorder="1" applyAlignment="1" applyProtection="1">
      <alignment horizontal="left"/>
    </xf>
    <xf numFmtId="3" fontId="44" fillId="0" borderId="0" xfId="3" applyNumberFormat="1" applyFont="1" applyBorder="1" applyAlignment="1" applyProtection="1">
      <alignment horizontal="right"/>
    </xf>
    <xf numFmtId="0" fontId="44" fillId="0" borderId="0" xfId="3" applyFont="1" applyBorder="1"/>
    <xf numFmtId="167" fontId="44" fillId="0" borderId="0" xfId="7" applyNumberFormat="1" applyFont="1" applyBorder="1" applyAlignment="1" applyProtection="1">
      <alignment horizontal="right"/>
    </xf>
    <xf numFmtId="5" fontId="44" fillId="0" borderId="0" xfId="3" applyNumberFormat="1" applyFont="1" applyBorder="1" applyProtection="1"/>
    <xf numFmtId="10" fontId="44" fillId="0" borderId="0" xfId="7" applyNumberFormat="1" applyFont="1" applyBorder="1" applyAlignment="1" applyProtection="1">
      <alignment horizontal="right"/>
    </xf>
    <xf numFmtId="14" fontId="35" fillId="4" borderId="0" xfId="3" applyNumberFormat="1" applyFont="1" applyFill="1" applyBorder="1" applyProtection="1"/>
    <xf numFmtId="165" fontId="35" fillId="4" borderId="0" xfId="4" applyNumberFormat="1" applyFont="1" applyFill="1"/>
    <xf numFmtId="0" fontId="35" fillId="4" borderId="0" xfId="3" applyFont="1" applyFill="1"/>
    <xf numFmtId="3" fontId="35" fillId="4" borderId="0" xfId="3" applyNumberFormat="1" applyFont="1" applyFill="1" applyAlignment="1" applyProtection="1">
      <alignment horizontal="right"/>
    </xf>
    <xf numFmtId="10" fontId="35" fillId="4" borderId="0" xfId="7" applyNumberFormat="1" applyFont="1" applyFill="1" applyAlignment="1" applyProtection="1">
      <alignment horizontal="right"/>
    </xf>
    <xf numFmtId="5" fontId="35" fillId="4" borderId="0" xfId="3" applyNumberFormat="1" applyFont="1" applyFill="1" applyProtection="1"/>
    <xf numFmtId="0" fontId="35" fillId="0" borderId="9" xfId="3" applyFont="1" applyFill="1" applyBorder="1"/>
    <xf numFmtId="14" fontId="35" fillId="0" borderId="0" xfId="3" applyNumberFormat="1" applyFont="1" applyFill="1" applyBorder="1" applyProtection="1"/>
    <xf numFmtId="165" fontId="35" fillId="0" borderId="0" xfId="4" applyNumberFormat="1" applyFont="1" applyFill="1"/>
    <xf numFmtId="0" fontId="35" fillId="0" borderId="0" xfId="3" applyFont="1" applyFill="1"/>
    <xf numFmtId="3" fontId="35" fillId="0" borderId="0" xfId="3" applyNumberFormat="1" applyFont="1" applyFill="1" applyAlignment="1" applyProtection="1">
      <alignment horizontal="right"/>
    </xf>
    <xf numFmtId="10" fontId="35" fillId="0" borderId="0" xfId="7" applyNumberFormat="1" applyFont="1" applyFill="1" applyAlignment="1" applyProtection="1">
      <alignment horizontal="right"/>
    </xf>
    <xf numFmtId="5" fontId="35" fillId="0" borderId="0" xfId="3" applyNumberFormat="1" applyFont="1" applyFill="1" applyProtection="1"/>
    <xf numFmtId="0" fontId="35" fillId="0" borderId="12" xfId="3" applyFont="1" applyFill="1" applyBorder="1"/>
    <xf numFmtId="0" fontId="35" fillId="0" borderId="0" xfId="5" applyFont="1" applyFill="1"/>
    <xf numFmtId="44" fontId="35" fillId="0" borderId="0" xfId="6" applyFont="1" applyFill="1"/>
    <xf numFmtId="14" fontId="36" fillId="0" borderId="0" xfId="3" applyNumberFormat="1" applyFont="1" applyFill="1" applyBorder="1" applyProtection="1"/>
    <xf numFmtId="5" fontId="36" fillId="0" borderId="0" xfId="3" applyNumberFormat="1" applyFont="1" applyFill="1" applyAlignment="1" applyProtection="1">
      <alignment horizontal="left"/>
    </xf>
    <xf numFmtId="5" fontId="36" fillId="0" borderId="0" xfId="3" applyNumberFormat="1" applyFont="1" applyFill="1" applyProtection="1"/>
    <xf numFmtId="10" fontId="36" fillId="0" borderId="0" xfId="7" applyNumberFormat="1" applyFont="1" applyFill="1" applyAlignment="1" applyProtection="1">
      <alignment horizontal="right"/>
    </xf>
    <xf numFmtId="167" fontId="36" fillId="0" borderId="0" xfId="3" applyNumberFormat="1" applyFont="1" applyFill="1" applyProtection="1"/>
    <xf numFmtId="165" fontId="36" fillId="0" borderId="0" xfId="3" applyNumberFormat="1" applyFont="1" applyFill="1" applyProtection="1"/>
    <xf numFmtId="165" fontId="36" fillId="0" borderId="0" xfId="4" applyNumberFormat="1" applyFont="1" applyFill="1"/>
    <xf numFmtId="44" fontId="35" fillId="0" borderId="2" xfId="4" applyFont="1" applyBorder="1"/>
    <xf numFmtId="0" fontId="36" fillId="0" borderId="0" xfId="3" applyFont="1" applyFill="1"/>
    <xf numFmtId="5" fontId="35" fillId="0" borderId="0" xfId="3" quotePrefix="1" applyNumberFormat="1" applyFont="1" applyFill="1" applyAlignment="1" applyProtection="1">
      <alignment horizontal="left"/>
    </xf>
    <xf numFmtId="14" fontId="35" fillId="0" borderId="0" xfId="3" applyNumberFormat="1" applyFont="1" applyFill="1"/>
    <xf numFmtId="5" fontId="35" fillId="0" borderId="0" xfId="3" applyNumberFormat="1" applyFont="1" applyFill="1" applyAlignment="1" applyProtection="1">
      <alignment horizontal="left"/>
    </xf>
    <xf numFmtId="0" fontId="44" fillId="0" borderId="9" xfId="3" applyFont="1" applyFill="1" applyBorder="1"/>
    <xf numFmtId="14" fontId="44" fillId="0" borderId="0" xfId="3" applyNumberFormat="1" applyFont="1" applyFill="1" applyBorder="1" applyProtection="1"/>
    <xf numFmtId="14" fontId="44" fillId="0" borderId="0" xfId="3" applyNumberFormat="1" applyFont="1" applyFill="1"/>
    <xf numFmtId="165" fontId="44" fillId="0" borderId="0" xfId="4" applyNumberFormat="1" applyFont="1" applyFill="1"/>
    <xf numFmtId="5" fontId="44" fillId="0" borderId="0" xfId="3" applyNumberFormat="1" applyFont="1" applyFill="1" applyAlignment="1" applyProtection="1">
      <alignment horizontal="left"/>
    </xf>
    <xf numFmtId="3" fontId="44" fillId="0" borderId="0" xfId="3" applyNumberFormat="1" applyFont="1" applyFill="1" applyAlignment="1" applyProtection="1">
      <alignment horizontal="right"/>
    </xf>
    <xf numFmtId="0" fontId="44" fillId="0" borderId="0" xfId="3" applyFont="1" applyFill="1"/>
    <xf numFmtId="10" fontId="44" fillId="0" borderId="0" xfId="7" applyNumberFormat="1" applyFont="1" applyFill="1" applyAlignment="1" applyProtection="1">
      <alignment horizontal="right"/>
    </xf>
    <xf numFmtId="5" fontId="44" fillId="0" borderId="0" xfId="3" applyNumberFormat="1" applyFont="1" applyFill="1" applyProtection="1"/>
    <xf numFmtId="0" fontId="44" fillId="0" borderId="12" xfId="3" applyFont="1" applyFill="1" applyBorder="1"/>
    <xf numFmtId="0" fontId="44" fillId="0" borderId="0" xfId="5" applyFont="1" applyFill="1"/>
    <xf numFmtId="44" fontId="44" fillId="0" borderId="0" xfId="6" applyFont="1" applyFill="1"/>
    <xf numFmtId="14" fontId="35" fillId="4" borderId="0" xfId="3" applyNumberFormat="1" applyFont="1" applyFill="1"/>
    <xf numFmtId="0" fontId="35" fillId="0" borderId="9" xfId="5" applyFont="1" applyFill="1" applyBorder="1"/>
    <xf numFmtId="14" fontId="35" fillId="0" borderId="0" xfId="5" applyNumberFormat="1" applyFont="1" applyFill="1" applyBorder="1" applyAlignment="1" applyProtection="1">
      <alignment horizontal="center"/>
    </xf>
    <xf numFmtId="14" fontId="35" fillId="0" borderId="0" xfId="5" applyNumberFormat="1" applyFont="1" applyFill="1" applyAlignment="1">
      <alignment horizontal="center"/>
    </xf>
    <xf numFmtId="165" fontId="35" fillId="0" borderId="0" xfId="5" applyNumberFormat="1" applyFont="1" applyFill="1"/>
    <xf numFmtId="3" fontId="35" fillId="0" borderId="0" xfId="5" applyNumberFormat="1" applyFont="1" applyFill="1" applyAlignment="1" applyProtection="1">
      <alignment horizontal="right"/>
    </xf>
    <xf numFmtId="10" fontId="35" fillId="0" borderId="0" xfId="8" applyNumberFormat="1" applyFont="1" applyFill="1" applyAlignment="1" applyProtection="1">
      <alignment horizontal="right"/>
    </xf>
    <xf numFmtId="165" fontId="35" fillId="0" borderId="0" xfId="6" applyNumberFormat="1" applyFont="1"/>
    <xf numFmtId="5" fontId="35" fillId="0" borderId="0" xfId="5" applyNumberFormat="1" applyFont="1" applyFill="1" applyAlignment="1" applyProtection="1">
      <alignment horizontal="left"/>
    </xf>
    <xf numFmtId="0" fontId="35" fillId="0" borderId="12" xfId="5" applyFont="1" applyFill="1" applyBorder="1"/>
    <xf numFmtId="5" fontId="35" fillId="0" borderId="0" xfId="5" applyNumberFormat="1" applyFont="1" applyFill="1" applyProtection="1"/>
    <xf numFmtId="165" fontId="35" fillId="0" borderId="0" xfId="6" applyNumberFormat="1" applyFont="1" applyFill="1"/>
    <xf numFmtId="0" fontId="35" fillId="0" borderId="0" xfId="5" applyNumberFormat="1" applyFont="1" applyFill="1" applyAlignment="1" applyProtection="1">
      <alignment horizontal="center"/>
    </xf>
    <xf numFmtId="14" fontId="35" fillId="0" borderId="0" xfId="5" applyNumberFormat="1" applyFont="1" applyBorder="1" applyAlignment="1" applyProtection="1">
      <alignment horizontal="center"/>
    </xf>
    <xf numFmtId="0" fontId="35" fillId="0" borderId="0" xfId="5" applyNumberFormat="1" applyFont="1" applyAlignment="1" applyProtection="1">
      <alignment horizontal="center"/>
    </xf>
    <xf numFmtId="14" fontId="35" fillId="0" borderId="0" xfId="5" applyNumberFormat="1" applyFont="1" applyAlignment="1">
      <alignment horizontal="center"/>
    </xf>
    <xf numFmtId="3" fontId="35" fillId="0" borderId="0" xfId="5" applyNumberFormat="1" applyFont="1" applyAlignment="1" applyProtection="1">
      <alignment horizontal="right"/>
    </xf>
    <xf numFmtId="0" fontId="36" fillId="0" borderId="9" xfId="5" applyFont="1" applyBorder="1"/>
    <xf numFmtId="14" fontId="36" fillId="0" borderId="0" xfId="5" applyNumberFormat="1" applyFont="1" applyBorder="1" applyAlignment="1" applyProtection="1">
      <alignment horizontal="center"/>
    </xf>
    <xf numFmtId="14" fontId="36" fillId="0" borderId="0" xfId="5" applyNumberFormat="1" applyFont="1" applyAlignment="1">
      <alignment horizontal="center"/>
    </xf>
    <xf numFmtId="165" fontId="36" fillId="0" borderId="0" xfId="6" applyNumberFormat="1" applyFont="1"/>
    <xf numFmtId="5" fontId="36" fillId="0" borderId="0" xfId="5" applyNumberFormat="1" applyFont="1" applyAlignment="1" applyProtection="1">
      <alignment horizontal="left"/>
    </xf>
    <xf numFmtId="3" fontId="36" fillId="0" borderId="0" xfId="5" applyNumberFormat="1" applyFont="1" applyAlignment="1" applyProtection="1">
      <alignment horizontal="right"/>
    </xf>
    <xf numFmtId="0" fontId="36" fillId="0" borderId="0" xfId="5" applyFont="1"/>
    <xf numFmtId="10" fontId="36" fillId="0" borderId="0" xfId="8" applyNumberFormat="1" applyFont="1" applyFill="1" applyAlignment="1" applyProtection="1">
      <alignment horizontal="right"/>
    </xf>
    <xf numFmtId="0" fontId="36" fillId="0" borderId="0" xfId="5" applyNumberFormat="1" applyFont="1" applyAlignment="1" applyProtection="1">
      <alignment horizontal="center"/>
    </xf>
    <xf numFmtId="0" fontId="36" fillId="0" borderId="12" xfId="5" applyFont="1" applyBorder="1"/>
    <xf numFmtId="44" fontId="36" fillId="0" borderId="0" xfId="6" applyFont="1"/>
    <xf numFmtId="14" fontId="36" fillId="0" borderId="0" xfId="5" applyNumberFormat="1" applyFont="1" applyBorder="1" applyProtection="1"/>
    <xf numFmtId="0" fontId="36" fillId="0" borderId="0" xfId="5" applyNumberFormat="1" applyFont="1" applyAlignment="1">
      <alignment horizontal="center"/>
    </xf>
    <xf numFmtId="14" fontId="35" fillId="0" borderId="0" xfId="5" applyNumberFormat="1" applyFont="1" applyBorder="1" applyProtection="1"/>
    <xf numFmtId="165" fontId="36" fillId="3" borderId="0" xfId="6" applyNumberFormat="1" applyFont="1" applyFill="1"/>
    <xf numFmtId="5" fontId="36" fillId="0" borderId="0" xfId="5" applyNumberFormat="1" applyFont="1" applyProtection="1"/>
    <xf numFmtId="10" fontId="35" fillId="0" borderId="0" xfId="8" applyNumberFormat="1" applyFont="1" applyAlignment="1" applyProtection="1">
      <alignment horizontal="right"/>
    </xf>
    <xf numFmtId="14" fontId="35" fillId="0" borderId="0" xfId="5" applyNumberFormat="1" applyFont="1"/>
    <xf numFmtId="0" fontId="35" fillId="0" borderId="16" xfId="5" applyFont="1" applyBorder="1"/>
    <xf numFmtId="0" fontId="35" fillId="0" borderId="17" xfId="5" applyFont="1" applyBorder="1"/>
    <xf numFmtId="3" fontId="35" fillId="0" borderId="17" xfId="5" applyNumberFormat="1" applyFont="1" applyBorder="1"/>
    <xf numFmtId="0" fontId="35" fillId="0" borderId="18" xfId="5" applyFont="1" applyBorder="1"/>
    <xf numFmtId="10" fontId="35" fillId="0" borderId="18" xfId="8" applyNumberFormat="1" applyFont="1" applyBorder="1" applyAlignment="1" applyProtection="1">
      <alignment horizontal="right"/>
    </xf>
    <xf numFmtId="0" fontId="35" fillId="0" borderId="19" xfId="5" applyFont="1" applyBorder="1"/>
    <xf numFmtId="0" fontId="35" fillId="0" borderId="0" xfId="5" applyFont="1" applyFill="1" applyBorder="1"/>
    <xf numFmtId="0" fontId="35" fillId="0" borderId="4" xfId="5" applyFont="1" applyFill="1" applyBorder="1"/>
    <xf numFmtId="0" fontId="35" fillId="0" borderId="8" xfId="5" applyFont="1" applyFill="1" applyBorder="1"/>
    <xf numFmtId="7" fontId="35" fillId="0" borderId="10" xfId="6" applyNumberFormat="1" applyFont="1" applyFill="1" applyBorder="1"/>
    <xf numFmtId="7" fontId="35" fillId="0" borderId="0" xfId="6" applyNumberFormat="1" applyFont="1" applyFill="1" applyBorder="1"/>
    <xf numFmtId="7" fontId="35" fillId="0" borderId="2" xfId="6" applyNumberFormat="1" applyFont="1" applyFill="1" applyBorder="1"/>
    <xf numFmtId="0" fontId="35" fillId="0" borderId="6" xfId="5" applyFont="1" applyFill="1" applyBorder="1"/>
    <xf numFmtId="0" fontId="35" fillId="0" borderId="18" xfId="5" applyFont="1" applyFill="1" applyBorder="1"/>
    <xf numFmtId="9" fontId="35" fillId="0" borderId="20" xfId="8" applyFont="1" applyFill="1" applyBorder="1"/>
    <xf numFmtId="9" fontId="35" fillId="0" borderId="0" xfId="8" applyFont="1" applyFill="1" applyBorder="1"/>
    <xf numFmtId="9" fontId="35" fillId="0" borderId="0" xfId="8" applyFont="1" applyFill="1"/>
    <xf numFmtId="7" fontId="35" fillId="0" borderId="20" xfId="6" applyNumberFormat="1" applyFont="1" applyFill="1" applyBorder="1"/>
    <xf numFmtId="44" fontId="35" fillId="0" borderId="20" xfId="6" applyFont="1" applyFill="1" applyBorder="1"/>
    <xf numFmtId="7" fontId="35" fillId="0" borderId="0" xfId="6" applyNumberFormat="1" applyFont="1" applyFill="1"/>
    <xf numFmtId="44" fontId="35" fillId="0" borderId="0" xfId="6" applyFont="1" applyFill="1" applyBorder="1"/>
    <xf numFmtId="44" fontId="35" fillId="0" borderId="10" xfId="6" applyNumberFormat="1" applyFont="1" applyFill="1" applyBorder="1"/>
    <xf numFmtId="10" fontId="35" fillId="0" borderId="0" xfId="8" applyNumberFormat="1" applyFont="1" applyFill="1" applyBorder="1"/>
    <xf numFmtId="7" fontId="35" fillId="0" borderId="0" xfId="5" applyNumberFormat="1" applyFont="1"/>
    <xf numFmtId="7" fontId="35" fillId="0" borderId="11" xfId="5" applyNumberFormat="1" applyFont="1" applyBorder="1"/>
    <xf numFmtId="165" fontId="35" fillId="0" borderId="0" xfId="5" applyNumberFormat="1" applyFont="1"/>
    <xf numFmtId="0" fontId="42" fillId="0" borderId="0" xfId="3" applyFont="1" applyAlignment="1">
      <alignment horizontal="center"/>
    </xf>
    <xf numFmtId="0" fontId="42" fillId="0" borderId="0" xfId="3" applyFont="1" applyFill="1" applyAlignment="1">
      <alignment horizontal="center"/>
    </xf>
    <xf numFmtId="10" fontId="0" fillId="0" borderId="0" xfId="7" applyNumberFormat="1" applyFont="1" applyFill="1"/>
    <xf numFmtId="0" fontId="37" fillId="0" borderId="14" xfId="3" applyFont="1" applyBorder="1"/>
    <xf numFmtId="0" fontId="34" fillId="0" borderId="15" xfId="3" applyBorder="1"/>
    <xf numFmtId="10" fontId="0" fillId="0" borderId="15" xfId="7" applyNumberFormat="1" applyFont="1" applyFill="1" applyBorder="1"/>
    <xf numFmtId="8" fontId="34" fillId="0" borderId="21" xfId="3" applyNumberFormat="1" applyBorder="1" applyProtection="1">
      <protection locked="0" hidden="1"/>
    </xf>
    <xf numFmtId="0" fontId="34" fillId="0" borderId="18" xfId="3" applyBorder="1" applyAlignment="1">
      <alignment horizontal="center" wrapText="1"/>
    </xf>
    <xf numFmtId="0" fontId="34" fillId="0" borderId="0" xfId="3" applyAlignment="1" applyProtection="1">
      <alignment horizontal="center"/>
      <protection locked="0" hidden="1"/>
    </xf>
    <xf numFmtId="165" fontId="34" fillId="0" borderId="0" xfId="3" applyNumberFormat="1" applyProtection="1">
      <protection locked="0" hidden="1"/>
    </xf>
    <xf numFmtId="41" fontId="34" fillId="0" borderId="0" xfId="3" applyNumberFormat="1" applyProtection="1">
      <protection locked="0" hidden="1"/>
    </xf>
    <xf numFmtId="0" fontId="34" fillId="0" borderId="15" xfId="3" applyBorder="1" applyAlignment="1">
      <alignment horizontal="center"/>
    </xf>
    <xf numFmtId="42" fontId="34" fillId="0" borderId="15" xfId="3" applyNumberFormat="1" applyBorder="1"/>
    <xf numFmtId="0" fontId="34" fillId="0" borderId="0" xfId="3" applyFont="1"/>
    <xf numFmtId="0" fontId="37" fillId="0" borderId="0" xfId="3" applyFont="1"/>
    <xf numFmtId="0" fontId="46" fillId="0" borderId="0" xfId="9" applyFont="1"/>
    <xf numFmtId="0" fontId="46" fillId="0" borderId="0" xfId="9" applyFont="1" applyFill="1"/>
    <xf numFmtId="0" fontId="39" fillId="0" borderId="0" xfId="9" applyFont="1"/>
    <xf numFmtId="14" fontId="46" fillId="3" borderId="0" xfId="9" applyNumberFormat="1" applyFont="1" applyFill="1"/>
    <xf numFmtId="166" fontId="46" fillId="0" borderId="0" xfId="9" applyNumberFormat="1" applyFont="1"/>
    <xf numFmtId="0" fontId="46" fillId="0" borderId="0" xfId="9" applyFont="1" applyFill="1" applyAlignment="1">
      <alignment horizontal="center"/>
    </xf>
    <xf numFmtId="0" fontId="39" fillId="0" borderId="0" xfId="9" applyFont="1" applyFill="1"/>
    <xf numFmtId="0" fontId="46" fillId="3" borderId="0" xfId="9" applyFont="1" applyFill="1"/>
    <xf numFmtId="9" fontId="46" fillId="0" borderId="0" xfId="7" applyFont="1"/>
    <xf numFmtId="166" fontId="34" fillId="3" borderId="0" xfId="10" applyNumberFormat="1" applyFont="1" applyFill="1"/>
    <xf numFmtId="164" fontId="46" fillId="3" borderId="0" xfId="7" applyNumberFormat="1" applyFont="1" applyFill="1"/>
    <xf numFmtId="167" fontId="46" fillId="3" borderId="0" xfId="9" applyNumberFormat="1" applyFont="1" applyFill="1"/>
    <xf numFmtId="10" fontId="46" fillId="3" borderId="0" xfId="9" applyNumberFormat="1" applyFont="1" applyFill="1"/>
    <xf numFmtId="0" fontId="39" fillId="0" borderId="0" xfId="9" applyFont="1" applyAlignment="1">
      <alignment horizontal="center"/>
    </xf>
    <xf numFmtId="0" fontId="39" fillId="0" borderId="0" xfId="9" applyFont="1" applyFill="1" applyAlignment="1">
      <alignment horizontal="center"/>
    </xf>
    <xf numFmtId="0" fontId="34" fillId="0" borderId="0" xfId="3" applyFont="1" applyFill="1"/>
    <xf numFmtId="14" fontId="46" fillId="0" borderId="0" xfId="9" applyNumberFormat="1" applyFont="1" applyFill="1"/>
    <xf numFmtId="4" fontId="46" fillId="0" borderId="0" xfId="9" applyNumberFormat="1" applyFont="1" applyFill="1"/>
    <xf numFmtId="4" fontId="46" fillId="0" borderId="0" xfId="9" applyNumberFormat="1" applyFont="1"/>
    <xf numFmtId="37" fontId="46" fillId="0" borderId="0" xfId="9" applyNumberFormat="1" applyFont="1"/>
    <xf numFmtId="4" fontId="46" fillId="0" borderId="0" xfId="9" applyNumberFormat="1" applyFont="1" applyFill="1" applyAlignment="1">
      <alignment horizontal="center"/>
    </xf>
    <xf numFmtId="14" fontId="46" fillId="2" borderId="0" xfId="9" applyNumberFormat="1" applyFont="1" applyFill="1"/>
    <xf numFmtId="0" fontId="46" fillId="2" borderId="0" xfId="9" applyFont="1" applyFill="1"/>
    <xf numFmtId="3" fontId="46" fillId="2" borderId="0" xfId="9" applyNumberFormat="1" applyFont="1" applyFill="1"/>
    <xf numFmtId="37" fontId="46" fillId="2" borderId="0" xfId="9" applyNumberFormat="1" applyFont="1" applyFill="1"/>
    <xf numFmtId="0" fontId="46" fillId="5" borderId="0" xfId="9" applyFont="1" applyFill="1" applyAlignment="1">
      <alignment horizontal="center"/>
    </xf>
    <xf numFmtId="3" fontId="46" fillId="5" borderId="0" xfId="9" applyNumberFormat="1" applyFont="1" applyFill="1"/>
    <xf numFmtId="3" fontId="46" fillId="0" borderId="0" xfId="9" applyNumberFormat="1" applyFont="1" applyFill="1"/>
    <xf numFmtId="3" fontId="46" fillId="0" borderId="0" xfId="9" applyNumberFormat="1" applyFont="1"/>
    <xf numFmtId="1" fontId="46" fillId="0" borderId="0" xfId="9" applyNumberFormat="1" applyFont="1" applyFill="1" applyAlignment="1">
      <alignment horizontal="center"/>
    </xf>
    <xf numFmtId="39" fontId="46" fillId="0" borderId="0" xfId="9" applyNumberFormat="1" applyFont="1"/>
    <xf numFmtId="14" fontId="39" fillId="0" borderId="0" xfId="9" applyNumberFormat="1" applyFont="1" applyFill="1" applyAlignment="1">
      <alignment horizontal="right"/>
    </xf>
    <xf numFmtId="3" fontId="39" fillId="0" borderId="0" xfId="9" applyNumberFormat="1" applyFont="1" applyFill="1"/>
    <xf numFmtId="3" fontId="39" fillId="0" borderId="0" xfId="9" applyNumberFormat="1" applyFont="1"/>
    <xf numFmtId="4" fontId="46" fillId="0" borderId="4" xfId="9" applyNumberFormat="1" applyFont="1" applyBorder="1"/>
    <xf numFmtId="4" fontId="46" fillId="0" borderId="8" xfId="9" applyNumberFormat="1" applyFont="1" applyBorder="1"/>
    <xf numFmtId="3" fontId="46" fillId="0" borderId="10" xfId="9" applyNumberFormat="1" applyFont="1" applyBorder="1"/>
    <xf numFmtId="4" fontId="46" fillId="0" borderId="9" xfId="9" applyNumberFormat="1" applyFont="1" applyBorder="1"/>
    <xf numFmtId="4" fontId="46" fillId="0" borderId="0" xfId="9" applyNumberFormat="1" applyFont="1" applyBorder="1"/>
    <xf numFmtId="3" fontId="46" fillId="0" borderId="2" xfId="9" applyNumberFormat="1" applyFont="1" applyBorder="1"/>
    <xf numFmtId="4" fontId="46" fillId="0" borderId="6" xfId="9" applyNumberFormat="1" applyFont="1" applyBorder="1"/>
    <xf numFmtId="4" fontId="46" fillId="0" borderId="18" xfId="9" applyNumberFormat="1" applyFont="1" applyBorder="1"/>
    <xf numFmtId="3" fontId="46" fillId="0" borderId="20" xfId="9" applyNumberFormat="1" applyFont="1" applyBorder="1"/>
    <xf numFmtId="10" fontId="46" fillId="3" borderId="0" xfId="7" applyNumberFormat="1" applyFont="1" applyFill="1"/>
    <xf numFmtId="0" fontId="39" fillId="0" borderId="0" xfId="9" applyFont="1" applyBorder="1" applyAlignment="1">
      <alignment horizontal="center"/>
    </xf>
    <xf numFmtId="14" fontId="46" fillId="5" borderId="0" xfId="9" applyNumberFormat="1" applyFont="1" applyFill="1"/>
    <xf numFmtId="0" fontId="46" fillId="5" borderId="0" xfId="9" applyFont="1" applyFill="1"/>
    <xf numFmtId="3" fontId="46" fillId="0" borderId="0" xfId="9" applyNumberFormat="1" applyFont="1" applyFill="1" applyAlignment="1">
      <alignment horizontal="center"/>
    </xf>
    <xf numFmtId="0" fontId="37" fillId="0" borderId="0" xfId="3" applyFont="1" applyFill="1" applyAlignment="1">
      <alignment horizontal="right"/>
    </xf>
    <xf numFmtId="0" fontId="46" fillId="0" borderId="0" xfId="11" applyFont="1" applyFill="1" applyBorder="1"/>
    <xf numFmtId="165" fontId="34" fillId="0" borderId="0" xfId="4" applyNumberFormat="1" applyFont="1" applyFill="1"/>
    <xf numFmtId="165" fontId="34" fillId="0" borderId="18" xfId="4" applyNumberFormat="1" applyFont="1" applyBorder="1"/>
    <xf numFmtId="165" fontId="37" fillId="0" borderId="0" xfId="3" applyNumberFormat="1" applyFont="1"/>
    <xf numFmtId="0" fontId="34" fillId="0" borderId="0" xfId="3" applyFill="1"/>
    <xf numFmtId="166" fontId="34" fillId="0" borderId="0" xfId="10" applyNumberFormat="1" applyFont="1"/>
    <xf numFmtId="165" fontId="37" fillId="0" borderId="0" xfId="4" applyNumberFormat="1" applyFont="1"/>
    <xf numFmtId="166" fontId="34" fillId="0" borderId="0" xfId="10" applyNumberFormat="1" applyFont="1" applyFill="1"/>
    <xf numFmtId="0" fontId="41" fillId="0" borderId="2" xfId="3" applyFont="1" applyBorder="1"/>
    <xf numFmtId="0" fontId="41" fillId="0" borderId="20" xfId="3" applyFont="1" applyBorder="1"/>
    <xf numFmtId="14" fontId="41" fillId="0" borderId="2" xfId="3" applyNumberFormat="1" applyFont="1" applyBorder="1" applyAlignment="1">
      <alignment horizontal="left"/>
    </xf>
    <xf numFmtId="0" fontId="41" fillId="0" borderId="2" xfId="3" applyFont="1" applyBorder="1" applyAlignment="1">
      <alignment horizontal="left"/>
    </xf>
    <xf numFmtId="10" fontId="41" fillId="0" borderId="20" xfId="2" applyNumberFormat="1" applyFont="1" applyBorder="1" applyAlignment="1">
      <alignment horizontal="left"/>
    </xf>
    <xf numFmtId="0" fontId="40" fillId="0" borderId="4" xfId="3" applyFont="1" applyBorder="1" applyAlignment="1">
      <alignment horizontal="right"/>
    </xf>
    <xf numFmtId="0" fontId="40" fillId="0" borderId="9" xfId="3" applyFont="1" applyBorder="1" applyAlignment="1">
      <alignment horizontal="right"/>
    </xf>
    <xf numFmtId="0" fontId="40" fillId="0" borderId="6" xfId="3" applyFont="1" applyBorder="1" applyAlignment="1">
      <alignment horizontal="right"/>
    </xf>
    <xf numFmtId="10" fontId="46" fillId="3" borderId="0" xfId="7" applyNumberFormat="1" applyFont="1" applyFill="1" applyProtection="1">
      <protection locked="0"/>
    </xf>
    <xf numFmtId="5" fontId="41" fillId="0" borderId="10" xfId="1" applyNumberFormat="1" applyFont="1" applyBorder="1" applyAlignment="1">
      <alignment horizontal="left"/>
    </xf>
    <xf numFmtId="0" fontId="35" fillId="0" borderId="7" xfId="0" applyFont="1" applyBorder="1"/>
    <xf numFmtId="0" fontId="41" fillId="0" borderId="1" xfId="3" applyFont="1" applyBorder="1"/>
    <xf numFmtId="0" fontId="36" fillId="0" borderId="1" xfId="0" applyFont="1" applyBorder="1" applyAlignment="1"/>
    <xf numFmtId="0" fontId="41" fillId="0" borderId="3" xfId="3" applyFont="1" applyBorder="1"/>
    <xf numFmtId="0" fontId="40" fillId="0" borderId="0" xfId="3" applyFont="1"/>
    <xf numFmtId="0" fontId="40" fillId="0" borderId="22" xfId="3" applyFont="1" applyBorder="1" applyAlignment="1">
      <alignment horizontal="right"/>
    </xf>
    <xf numFmtId="0" fontId="41" fillId="0" borderId="18" xfId="3" applyFont="1" applyBorder="1" applyAlignment="1">
      <alignment horizontal="left"/>
    </xf>
    <xf numFmtId="0" fontId="41" fillId="6" borderId="6" xfId="3" applyFont="1" applyFill="1" applyBorder="1" applyAlignment="1">
      <alignment horizontal="right"/>
    </xf>
    <xf numFmtId="164" fontId="41" fillId="0" borderId="5" xfId="2" applyNumberFormat="1" applyFont="1" applyBorder="1" applyAlignment="1">
      <alignment horizontal="center"/>
    </xf>
    <xf numFmtId="10" fontId="34" fillId="3" borderId="0" xfId="2" applyNumberFormat="1" applyFont="1" applyFill="1" applyProtection="1">
      <protection locked="0"/>
    </xf>
    <xf numFmtId="10" fontId="46" fillId="3" borderId="13" xfId="7" applyNumberFormat="1" applyFont="1" applyFill="1" applyBorder="1" applyProtection="1">
      <protection locked="0"/>
    </xf>
    <xf numFmtId="5" fontId="46" fillId="0" borderId="13" xfId="5" applyNumberFormat="1" applyFont="1" applyBorder="1" applyProtection="1"/>
    <xf numFmtId="0" fontId="38" fillId="0" borderId="0" xfId="53"/>
    <xf numFmtId="0" fontId="52" fillId="3" borderId="23" xfId="53" applyFont="1" applyFill="1" applyBorder="1" applyAlignment="1">
      <alignment horizontal="center"/>
    </xf>
    <xf numFmtId="0" fontId="52" fillId="3" borderId="23" xfId="53" applyFont="1" applyFill="1" applyBorder="1" applyAlignment="1">
      <alignment horizontal="center" vertical="center"/>
    </xf>
    <xf numFmtId="0" fontId="52" fillId="3" borderId="23" xfId="53" applyFont="1" applyFill="1" applyBorder="1" applyAlignment="1">
      <alignment horizontal="center" vertical="top" wrapText="1"/>
    </xf>
    <xf numFmtId="0" fontId="52" fillId="3" borderId="23" xfId="53" applyFont="1" applyFill="1" applyBorder="1" applyAlignment="1">
      <alignment horizontal="center" vertical="center" wrapText="1"/>
    </xf>
    <xf numFmtId="0" fontId="52" fillId="0" borderId="23" xfId="53" applyFont="1" applyBorder="1"/>
    <xf numFmtId="9" fontId="52" fillId="0" borderId="23" xfId="2" applyFont="1" applyBorder="1"/>
    <xf numFmtId="0" fontId="38" fillId="0" borderId="23" xfId="53" applyBorder="1"/>
    <xf numFmtId="0" fontId="52" fillId="0" borderId="14" xfId="53" applyFont="1" applyBorder="1"/>
    <xf numFmtId="168" fontId="52" fillId="0" borderId="23" xfId="53" applyNumberFormat="1" applyFont="1" applyBorder="1"/>
    <xf numFmtId="168" fontId="52" fillId="0" borderId="23" xfId="53" applyNumberFormat="1" applyFont="1" applyFill="1" applyBorder="1"/>
    <xf numFmtId="0" fontId="53" fillId="0" borderId="15" xfId="53" applyFont="1" applyFill="1" applyBorder="1"/>
    <xf numFmtId="168" fontId="53" fillId="0" borderId="15" xfId="53" applyNumberFormat="1" applyFont="1" applyFill="1" applyBorder="1"/>
    <xf numFmtId="0" fontId="38" fillId="0" borderId="15" xfId="53" applyBorder="1"/>
    <xf numFmtId="0" fontId="52" fillId="0" borderId="23" xfId="53" applyFont="1" applyFill="1" applyBorder="1"/>
    <xf numFmtId="168" fontId="52" fillId="0" borderId="14" xfId="53" applyNumberFormat="1" applyFont="1" applyFill="1" applyBorder="1"/>
    <xf numFmtId="168" fontId="53" fillId="0" borderId="23" xfId="53" applyNumberFormat="1" applyFont="1" applyFill="1" applyBorder="1"/>
    <xf numFmtId="0" fontId="53" fillId="0" borderId="23" xfId="53" applyFont="1" applyFill="1" applyBorder="1"/>
    <xf numFmtId="0" fontId="52" fillId="0" borderId="3" xfId="53" applyFont="1" applyFill="1" applyBorder="1"/>
    <xf numFmtId="0" fontId="38" fillId="0" borderId="3" xfId="53" applyBorder="1"/>
    <xf numFmtId="168" fontId="53" fillId="0" borderId="23" xfId="53" applyNumberFormat="1" applyFont="1" applyFill="1" applyBorder="1" applyAlignment="1">
      <alignment horizontal="right"/>
    </xf>
    <xf numFmtId="0" fontId="52" fillId="3" borderId="23" xfId="53" applyFont="1" applyFill="1" applyBorder="1" applyAlignment="1">
      <alignment vertical="center"/>
    </xf>
    <xf numFmtId="168" fontId="52" fillId="3" borderId="23" xfId="53" applyNumberFormat="1" applyFont="1" applyFill="1" applyBorder="1" applyAlignment="1">
      <alignment vertical="center"/>
    </xf>
    <xf numFmtId="0" fontId="38" fillId="0" borderId="0" xfId="53" applyAlignment="1">
      <alignment vertical="center"/>
    </xf>
    <xf numFmtId="0" fontId="52" fillId="7" borderId="23" xfId="53" applyFont="1" applyFill="1" applyBorder="1" applyAlignment="1">
      <alignment vertical="center" wrapText="1"/>
    </xf>
    <xf numFmtId="0" fontId="52" fillId="7" borderId="23" xfId="53" applyFont="1" applyFill="1" applyBorder="1" applyAlignment="1">
      <alignment horizontal="right" vertical="center"/>
    </xf>
    <xf numFmtId="9" fontId="52" fillId="7" borderId="23" xfId="2" applyNumberFormat="1" applyFont="1" applyFill="1" applyBorder="1" applyAlignment="1">
      <alignment horizontal="right" vertical="center"/>
    </xf>
    <xf numFmtId="0" fontId="53" fillId="0" borderId="0" xfId="53" applyFont="1" applyFill="1" applyBorder="1"/>
    <xf numFmtId="0" fontId="53" fillId="0" borderId="0" xfId="53" applyFont="1"/>
    <xf numFmtId="0" fontId="52" fillId="0" borderId="14" xfId="53" applyFont="1" applyFill="1" applyBorder="1"/>
    <xf numFmtId="0" fontId="53" fillId="0" borderId="4" xfId="53" applyFont="1" applyFill="1" applyBorder="1"/>
    <xf numFmtId="0" fontId="53" fillId="0" borderId="9" xfId="53" applyFont="1" applyFill="1" applyBorder="1"/>
    <xf numFmtId="166" fontId="53" fillId="0" borderId="7" xfId="52" applyNumberFormat="1" applyFont="1" applyBorder="1"/>
    <xf numFmtId="166" fontId="53" fillId="0" borderId="1" xfId="52" applyNumberFormat="1" applyFont="1" applyBorder="1"/>
    <xf numFmtId="166" fontId="53" fillId="0" borderId="3" xfId="52" applyNumberFormat="1" applyFont="1" applyBorder="1"/>
    <xf numFmtId="10" fontId="53" fillId="0" borderId="7" xfId="2" applyNumberFormat="1" applyFont="1" applyBorder="1"/>
    <xf numFmtId="10" fontId="53" fillId="0" borderId="1" xfId="2" applyNumberFormat="1" applyFont="1" applyBorder="1"/>
    <xf numFmtId="10" fontId="53" fillId="0" borderId="3" xfId="2" applyNumberFormat="1" applyFont="1" applyBorder="1"/>
    <xf numFmtId="0" fontId="53" fillId="0" borderId="22" xfId="53" applyFont="1" applyBorder="1"/>
    <xf numFmtId="166" fontId="52" fillId="0" borderId="23" xfId="53" applyNumberFormat="1" applyFont="1" applyBorder="1"/>
    <xf numFmtId="10" fontId="52" fillId="0" borderId="5" xfId="2" applyNumberFormat="1" applyFont="1" applyBorder="1"/>
    <xf numFmtId="0" fontId="52" fillId="0" borderId="14" xfId="53" applyFont="1" applyFill="1" applyBorder="1" applyAlignment="1">
      <alignment horizontal="center"/>
    </xf>
    <xf numFmtId="0" fontId="52" fillId="0" borderId="23" xfId="53" applyFont="1" applyFill="1" applyBorder="1" applyAlignment="1">
      <alignment horizontal="center"/>
    </xf>
    <xf numFmtId="9" fontId="53" fillId="0" borderId="23" xfId="53" applyNumberFormat="1" applyFont="1" applyBorder="1"/>
    <xf numFmtId="0" fontId="53" fillId="0" borderId="4" xfId="53" applyFont="1" applyBorder="1"/>
    <xf numFmtId="165" fontId="53" fillId="0" borderId="10" xfId="1" applyNumberFormat="1" applyFont="1" applyBorder="1"/>
    <xf numFmtId="165" fontId="53" fillId="0" borderId="20" xfId="1" applyNumberFormat="1" applyFont="1" applyBorder="1"/>
    <xf numFmtId="165" fontId="53" fillId="0" borderId="0" xfId="53" applyNumberFormat="1" applyFont="1"/>
    <xf numFmtId="14" fontId="34" fillId="0" borderId="0" xfId="3" applyNumberFormat="1" applyFont="1"/>
    <xf numFmtId="166" fontId="53" fillId="0" borderId="5" xfId="52" applyNumberFormat="1" applyFont="1" applyBorder="1"/>
    <xf numFmtId="44" fontId="53" fillId="0" borderId="10" xfId="1" applyFont="1" applyBorder="1"/>
    <xf numFmtId="0" fontId="53" fillId="0" borderId="9" xfId="53" applyFont="1" applyBorder="1"/>
    <xf numFmtId="166" fontId="53" fillId="0" borderId="2" xfId="52" applyNumberFormat="1" applyFont="1" applyBorder="1"/>
    <xf numFmtId="166" fontId="53" fillId="0" borderId="20" xfId="52" applyNumberFormat="1" applyFont="1" applyBorder="1"/>
    <xf numFmtId="165" fontId="52" fillId="0" borderId="5" xfId="1" applyNumberFormat="1" applyFont="1" applyBorder="1"/>
    <xf numFmtId="0" fontId="16" fillId="0" borderId="0" xfId="3" applyFont="1"/>
    <xf numFmtId="0" fontId="15" fillId="0" borderId="0" xfId="3" applyFont="1"/>
    <xf numFmtId="0" fontId="14" fillId="0" borderId="0" xfId="3" applyFont="1"/>
    <xf numFmtId="0" fontId="13" fillId="0" borderId="0" xfId="3" applyFont="1"/>
    <xf numFmtId="0" fontId="37" fillId="0" borderId="14" xfId="3" applyFont="1" applyFill="1" applyBorder="1"/>
    <xf numFmtId="44" fontId="37" fillId="3" borderId="23" xfId="4" applyFont="1" applyFill="1" applyBorder="1"/>
    <xf numFmtId="9" fontId="53" fillId="0" borderId="10" xfId="1" applyNumberFormat="1" applyFont="1" applyBorder="1"/>
    <xf numFmtId="9" fontId="53" fillId="0" borderId="24" xfId="1" applyNumberFormat="1" applyFont="1" applyBorder="1"/>
    <xf numFmtId="9" fontId="53" fillId="3" borderId="20" xfId="2" applyFont="1" applyFill="1" applyBorder="1"/>
    <xf numFmtId="0" fontId="38" fillId="3" borderId="0" xfId="53" applyFill="1"/>
    <xf numFmtId="0" fontId="53" fillId="3" borderId="0" xfId="53" applyFont="1" applyFill="1"/>
    <xf numFmtId="165" fontId="38" fillId="0" borderId="0" xfId="1" applyNumberFormat="1"/>
    <xf numFmtId="9" fontId="52" fillId="7" borderId="0" xfId="2" applyNumberFormat="1" applyFont="1" applyFill="1" applyBorder="1" applyAlignment="1">
      <alignment horizontal="right" vertical="center"/>
    </xf>
    <xf numFmtId="165" fontId="53" fillId="0" borderId="0" xfId="1" applyNumberFormat="1" applyFont="1"/>
    <xf numFmtId="0" fontId="52" fillId="0" borderId="0" xfId="53" applyFont="1"/>
    <xf numFmtId="0" fontId="53" fillId="6" borderId="23" xfId="53" applyFont="1" applyFill="1" applyBorder="1"/>
    <xf numFmtId="165" fontId="53" fillId="6" borderId="23" xfId="1" applyNumberFormat="1" applyFont="1" applyFill="1" applyBorder="1"/>
    <xf numFmtId="0" fontId="53" fillId="6" borderId="23" xfId="53" applyFont="1" applyFill="1" applyBorder="1" applyAlignment="1">
      <alignment horizontal="right"/>
    </xf>
    <xf numFmtId="0" fontId="53" fillId="3" borderId="23" xfId="53" applyFont="1" applyFill="1" applyBorder="1"/>
    <xf numFmtId="165" fontId="53" fillId="3" borderId="23" xfId="1" applyNumberFormat="1" applyFont="1" applyFill="1" applyBorder="1"/>
    <xf numFmtId="0" fontId="53" fillId="3" borderId="23" xfId="53" applyFont="1" applyFill="1" applyBorder="1" applyAlignment="1">
      <alignment horizontal="right"/>
    </xf>
    <xf numFmtId="0" fontId="52" fillId="0" borderId="23" xfId="53" applyFont="1" applyFill="1" applyBorder="1" applyAlignment="1"/>
    <xf numFmtId="0" fontId="52" fillId="0" borderId="23" xfId="53" applyFont="1" applyBorder="1" applyAlignment="1"/>
    <xf numFmtId="0" fontId="52" fillId="0" borderId="23" xfId="53" applyFont="1" applyFill="1" applyBorder="1" applyAlignment="1">
      <alignment horizontal="right"/>
    </xf>
    <xf numFmtId="0" fontId="52" fillId="0" borderId="4" xfId="53" applyFont="1" applyBorder="1"/>
    <xf numFmtId="165" fontId="53" fillId="0" borderId="8" xfId="1" applyNumberFormat="1" applyFont="1" applyBorder="1"/>
    <xf numFmtId="0" fontId="52" fillId="0" borderId="9" xfId="53" applyFont="1" applyBorder="1"/>
    <xf numFmtId="165" fontId="53" fillId="0" borderId="0" xfId="1" applyNumberFormat="1" applyFont="1" applyBorder="1"/>
    <xf numFmtId="165" fontId="53" fillId="0" borderId="24" xfId="1" applyNumberFormat="1" applyFont="1" applyBorder="1"/>
    <xf numFmtId="0" fontId="52" fillId="0" borderId="22" xfId="53" applyFont="1" applyBorder="1"/>
    <xf numFmtId="165" fontId="53" fillId="0" borderId="18" xfId="1" applyNumberFormat="1" applyFont="1" applyBorder="1"/>
    <xf numFmtId="0" fontId="52" fillId="0" borderId="14" xfId="53" applyFont="1" applyBorder="1" applyAlignment="1">
      <alignment horizontal="right"/>
    </xf>
    <xf numFmtId="165" fontId="52" fillId="0" borderId="15" xfId="1" applyNumberFormat="1" applyFont="1" applyBorder="1"/>
    <xf numFmtId="168" fontId="53" fillId="0" borderId="0" xfId="53" applyNumberFormat="1" applyFont="1"/>
    <xf numFmtId="0" fontId="52" fillId="0" borderId="0" xfId="53" applyFont="1" applyBorder="1"/>
    <xf numFmtId="166" fontId="52" fillId="0" borderId="0" xfId="53" applyNumberFormat="1" applyFont="1" applyBorder="1"/>
    <xf numFmtId="10" fontId="52" fillId="0" borderId="0" xfId="2" applyNumberFormat="1" applyFont="1" applyBorder="1"/>
    <xf numFmtId="0" fontId="52" fillId="0" borderId="14" xfId="53" applyFont="1" applyFill="1" applyBorder="1" applyAlignment="1">
      <alignment horizontal="center"/>
    </xf>
    <xf numFmtId="0" fontId="52" fillId="3" borderId="23" xfId="53" applyFont="1" applyFill="1" applyBorder="1" applyAlignment="1">
      <alignment horizontal="center"/>
    </xf>
    <xf numFmtId="0" fontId="52" fillId="3" borderId="23" xfId="53" applyFont="1" applyFill="1" applyBorder="1" applyAlignment="1">
      <alignment horizontal="center"/>
    </xf>
    <xf numFmtId="0" fontId="52" fillId="0" borderId="7" xfId="53" applyFont="1" applyBorder="1"/>
    <xf numFmtId="0" fontId="53" fillId="0" borderId="10" xfId="53" applyFont="1" applyBorder="1"/>
    <xf numFmtId="0" fontId="53" fillId="0" borderId="1" xfId="53" applyFont="1" applyBorder="1"/>
    <xf numFmtId="168" fontId="53" fillId="0" borderId="24" xfId="53" applyNumberFormat="1" applyFont="1" applyBorder="1"/>
    <xf numFmtId="0" fontId="52" fillId="0" borderId="1" xfId="53" applyFont="1" applyBorder="1"/>
    <xf numFmtId="168" fontId="52" fillId="0" borderId="24" xfId="53" applyNumberFormat="1" applyFont="1" applyBorder="1"/>
    <xf numFmtId="0" fontId="52" fillId="6" borderId="3" xfId="53" applyFont="1" applyFill="1" applyBorder="1"/>
    <xf numFmtId="168" fontId="52" fillId="6" borderId="20" xfId="53" applyNumberFormat="1" applyFont="1" applyFill="1" applyBorder="1"/>
    <xf numFmtId="168" fontId="53" fillId="0" borderId="0" xfId="53" applyNumberFormat="1" applyFont="1" applyBorder="1"/>
    <xf numFmtId="168" fontId="53" fillId="0" borderId="10" xfId="53" applyNumberFormat="1" applyFont="1" applyBorder="1"/>
    <xf numFmtId="168" fontId="53" fillId="0" borderId="24" xfId="1" applyNumberFormat="1" applyFont="1" applyBorder="1"/>
    <xf numFmtId="0" fontId="52" fillId="0" borderId="3" xfId="53" applyFont="1" applyBorder="1"/>
    <xf numFmtId="168" fontId="52" fillId="0" borderId="20" xfId="53" applyNumberFormat="1" applyFont="1" applyBorder="1"/>
    <xf numFmtId="168" fontId="53" fillId="0" borderId="7" xfId="53" applyNumberFormat="1" applyFont="1" applyBorder="1"/>
    <xf numFmtId="168" fontId="53" fillId="0" borderId="1" xfId="53" applyNumberFormat="1" applyFont="1" applyBorder="1"/>
    <xf numFmtId="0" fontId="52" fillId="6" borderId="22" xfId="53" applyFont="1" applyFill="1" applyBorder="1"/>
    <xf numFmtId="168" fontId="52" fillId="6" borderId="3" xfId="53" applyNumberFormat="1" applyFont="1" applyFill="1" applyBorder="1"/>
    <xf numFmtId="0" fontId="53" fillId="0" borderId="0" xfId="53" applyFont="1" applyBorder="1"/>
    <xf numFmtId="168" fontId="52" fillId="0" borderId="1" xfId="53" applyNumberFormat="1" applyFont="1" applyBorder="1"/>
    <xf numFmtId="168" fontId="53" fillId="0" borderId="1" xfId="52" applyNumberFormat="1" applyFont="1" applyBorder="1"/>
    <xf numFmtId="168" fontId="53" fillId="0" borderId="24" xfId="52" applyNumberFormat="1" applyFont="1" applyBorder="1"/>
    <xf numFmtId="0" fontId="53" fillId="0" borderId="0" xfId="53" applyFont="1" applyAlignment="1">
      <alignment horizontal="right"/>
    </xf>
    <xf numFmtId="168" fontId="53" fillId="0" borderId="0" xfId="53" applyNumberFormat="1" applyFont="1" applyFill="1" applyBorder="1" applyAlignment="1">
      <alignment horizontal="right"/>
    </xf>
    <xf numFmtId="9" fontId="52" fillId="0" borderId="23" xfId="2" applyFont="1" applyBorder="1" applyProtection="1">
      <protection locked="0"/>
    </xf>
    <xf numFmtId="0" fontId="52" fillId="0" borderId="23" xfId="53" applyFont="1" applyBorder="1" applyProtection="1">
      <protection locked="0"/>
    </xf>
    <xf numFmtId="168" fontId="52" fillId="0" borderId="23" xfId="53" applyNumberFormat="1" applyFont="1" applyBorder="1" applyProtection="1"/>
    <xf numFmtId="168" fontId="52" fillId="0" borderId="23" xfId="53" applyNumberFormat="1" applyFont="1" applyFill="1" applyBorder="1" applyProtection="1"/>
    <xf numFmtId="168" fontId="53" fillId="0" borderId="15" xfId="53" applyNumberFormat="1" applyFont="1" applyFill="1" applyBorder="1" applyProtection="1"/>
    <xf numFmtId="168" fontId="53" fillId="0" borderId="23" xfId="53" applyNumberFormat="1" applyFont="1" applyFill="1" applyBorder="1" applyProtection="1"/>
    <xf numFmtId="168" fontId="53" fillId="0" borderId="23" xfId="53" applyNumberFormat="1" applyFont="1" applyFill="1" applyBorder="1" applyAlignment="1" applyProtection="1">
      <alignment horizontal="right"/>
    </xf>
    <xf numFmtId="168" fontId="52" fillId="0" borderId="14" xfId="53" applyNumberFormat="1" applyFont="1" applyFill="1" applyBorder="1" applyProtection="1"/>
    <xf numFmtId="168" fontId="52" fillId="3" borderId="23" xfId="53" applyNumberFormat="1" applyFont="1" applyFill="1" applyBorder="1" applyAlignment="1" applyProtection="1">
      <alignment vertical="center"/>
    </xf>
    <xf numFmtId="0" fontId="52" fillId="7" borderId="23" xfId="53" applyFont="1" applyFill="1" applyBorder="1" applyAlignment="1" applyProtection="1">
      <alignment horizontal="right" vertical="center"/>
    </xf>
    <xf numFmtId="9" fontId="52" fillId="7" borderId="23" xfId="2" applyNumberFormat="1" applyFont="1" applyFill="1" applyBorder="1" applyAlignment="1" applyProtection="1">
      <alignment horizontal="right" vertical="center"/>
    </xf>
    <xf numFmtId="166" fontId="53" fillId="0" borderId="7" xfId="52" applyNumberFormat="1" applyFont="1" applyBorder="1" applyProtection="1">
      <protection locked="0"/>
    </xf>
    <xf numFmtId="166" fontId="53" fillId="0" borderId="1" xfId="52" applyNumberFormat="1" applyFont="1" applyBorder="1" applyProtection="1">
      <protection locked="0"/>
    </xf>
    <xf numFmtId="165" fontId="53" fillId="0" borderId="10" xfId="1" applyNumberFormat="1" applyFont="1" applyBorder="1" applyProtection="1">
      <protection locked="0"/>
    </xf>
    <xf numFmtId="165" fontId="53" fillId="0" borderId="20" xfId="1" applyNumberFormat="1" applyFont="1" applyBorder="1" applyProtection="1">
      <protection locked="0"/>
    </xf>
    <xf numFmtId="9" fontId="53" fillId="0" borderId="10" xfId="1" applyNumberFormat="1" applyFont="1" applyBorder="1" applyProtection="1">
      <protection locked="0"/>
    </xf>
    <xf numFmtId="9" fontId="53" fillId="0" borderId="24" xfId="1" applyNumberFormat="1" applyFont="1" applyBorder="1" applyProtection="1">
      <protection locked="0"/>
    </xf>
    <xf numFmtId="9" fontId="53" fillId="3" borderId="20" xfId="2" applyFont="1" applyFill="1" applyBorder="1" applyProtection="1">
      <protection locked="0"/>
    </xf>
    <xf numFmtId="44" fontId="53" fillId="0" borderId="10" xfId="1" applyFont="1" applyBorder="1" applyProtection="1">
      <protection locked="0"/>
    </xf>
    <xf numFmtId="166" fontId="53" fillId="0" borderId="2" xfId="52" applyNumberFormat="1" applyFont="1" applyBorder="1" applyProtection="1">
      <protection locked="0"/>
    </xf>
    <xf numFmtId="166" fontId="53" fillId="0" borderId="20" xfId="52" applyNumberFormat="1" applyFont="1" applyBorder="1" applyProtection="1">
      <protection locked="0"/>
    </xf>
    <xf numFmtId="0" fontId="40" fillId="3" borderId="14" xfId="3" applyFont="1" applyFill="1" applyBorder="1" applyAlignment="1">
      <alignment horizontal="center"/>
    </xf>
    <xf numFmtId="0" fontId="40" fillId="3" borderId="15" xfId="3" applyFont="1" applyFill="1" applyBorder="1" applyAlignment="1">
      <alignment horizontal="center"/>
    </xf>
    <xf numFmtId="0" fontId="40" fillId="3" borderId="5" xfId="3" applyFont="1" applyFill="1" applyBorder="1" applyAlignment="1">
      <alignment horizontal="center"/>
    </xf>
    <xf numFmtId="0" fontId="35" fillId="0" borderId="8" xfId="0" applyFont="1" applyBorder="1" applyAlignment="1">
      <alignment horizontal="left"/>
    </xf>
    <xf numFmtId="0" fontId="35" fillId="0" borderId="10" xfId="0" applyFont="1" applyBorder="1" applyAlignment="1">
      <alignment horizontal="left"/>
    </xf>
    <xf numFmtId="0" fontId="35" fillId="0" borderId="9" xfId="5" applyFont="1" applyBorder="1" applyAlignment="1">
      <alignment horizontal="left" wrapText="1"/>
    </xf>
    <xf numFmtId="0" fontId="35" fillId="0" borderId="0" xfId="5" applyFont="1" applyBorder="1" applyAlignment="1">
      <alignment horizontal="left" wrapText="1"/>
    </xf>
    <xf numFmtId="0" fontId="35" fillId="0" borderId="12" xfId="5" applyFont="1" applyBorder="1" applyAlignment="1">
      <alignment horizontal="left" wrapText="1"/>
    </xf>
    <xf numFmtId="0" fontId="35" fillId="0" borderId="0" xfId="5" applyFont="1" applyFill="1" applyBorder="1" applyAlignment="1">
      <alignment horizontal="center"/>
    </xf>
    <xf numFmtId="0" fontId="45" fillId="0" borderId="0" xfId="5" applyFont="1" applyFill="1" applyAlignment="1">
      <alignment horizontal="left"/>
    </xf>
    <xf numFmtId="0" fontId="42" fillId="0" borderId="0" xfId="3" applyFont="1" applyAlignment="1">
      <alignment horizontal="center"/>
    </xf>
    <xf numFmtId="0" fontId="39" fillId="0" borderId="14" xfId="9" applyFont="1" applyBorder="1" applyAlignment="1">
      <alignment horizontal="center"/>
    </xf>
    <xf numFmtId="0" fontId="39" fillId="0" borderId="15" xfId="9" applyFont="1" applyBorder="1" applyAlignment="1">
      <alignment horizontal="center"/>
    </xf>
    <xf numFmtId="0" fontId="39" fillId="0" borderId="5" xfId="9" applyFont="1" applyBorder="1" applyAlignment="1">
      <alignment horizontal="center"/>
    </xf>
    <xf numFmtId="0" fontId="52" fillId="0" borderId="14" xfId="53" applyFont="1" applyBorder="1" applyAlignment="1">
      <alignment horizontal="center"/>
    </xf>
    <xf numFmtId="0" fontId="52" fillId="0" borderId="5" xfId="53" applyFont="1" applyBorder="1" applyAlignment="1">
      <alignment horizontal="center"/>
    </xf>
    <xf numFmtId="0" fontId="52" fillId="0" borderId="14" xfId="53" applyFont="1" applyBorder="1" applyAlignment="1"/>
    <xf numFmtId="0" fontId="52" fillId="0" borderId="5" xfId="53" applyFont="1" applyBorder="1" applyAlignment="1"/>
    <xf numFmtId="0" fontId="52" fillId="0" borderId="14" xfId="53" applyFont="1" applyFill="1" applyBorder="1" applyAlignment="1">
      <alignment horizontal="center"/>
    </xf>
    <xf numFmtId="0" fontId="52" fillId="0" borderId="15" xfId="53" applyFont="1" applyFill="1" applyBorder="1" applyAlignment="1">
      <alignment horizontal="center"/>
    </xf>
    <xf numFmtId="0" fontId="52" fillId="0" borderId="5" xfId="53" applyFont="1" applyFill="1" applyBorder="1" applyAlignment="1">
      <alignment horizontal="center"/>
    </xf>
    <xf numFmtId="0" fontId="49" fillId="0" borderId="0" xfId="53" applyFont="1" applyAlignment="1">
      <alignment horizontal="center"/>
    </xf>
    <xf numFmtId="0" fontId="50" fillId="0" borderId="0" xfId="53" applyFont="1" applyAlignment="1">
      <alignment horizontal="center"/>
    </xf>
    <xf numFmtId="0" fontId="51" fillId="0" borderId="0" xfId="53" applyFont="1" applyAlignment="1">
      <alignment horizontal="center" vertical="center"/>
    </xf>
    <xf numFmtId="0" fontId="52" fillId="3" borderId="23" xfId="53" applyFont="1" applyFill="1" applyBorder="1" applyAlignment="1">
      <alignment horizontal="center"/>
    </xf>
  </cellXfs>
  <cellStyles count="88">
    <cellStyle name="Comma" xfId="52" builtinId="3"/>
    <cellStyle name="Comma 2" xfId="10"/>
    <cellStyle name="Comma 3" xfId="12"/>
    <cellStyle name="Comma 4" xfId="13"/>
    <cellStyle name="Comma 5" xfId="14"/>
    <cellStyle name="Currency" xfId="1" builtinId="4"/>
    <cellStyle name="Currency 10" xfId="29"/>
    <cellStyle name="Currency 11" xfId="31"/>
    <cellStyle name="Currency 12" xfId="33"/>
    <cellStyle name="Currency 13" xfId="35"/>
    <cellStyle name="Currency 14" xfId="37"/>
    <cellStyle name="Currency 15" xfId="39"/>
    <cellStyle name="Currency 16" xfId="41"/>
    <cellStyle name="Currency 17" xfId="43"/>
    <cellStyle name="Currency 18" xfId="45"/>
    <cellStyle name="Currency 19" xfId="47"/>
    <cellStyle name="Currency 2" xfId="4"/>
    <cellStyle name="Currency 2 2" xfId="6"/>
    <cellStyle name="Currency 20" xfId="49"/>
    <cellStyle name="Currency 21" xfId="51"/>
    <cellStyle name="Currency 22" xfId="55"/>
    <cellStyle name="Currency 23" xfId="57"/>
    <cellStyle name="Currency 24" xfId="59"/>
    <cellStyle name="Currency 25" xfId="61"/>
    <cellStyle name="Currency 26" xfId="63"/>
    <cellStyle name="Currency 27" xfId="65"/>
    <cellStyle name="Currency 28" xfId="67"/>
    <cellStyle name="Currency 29" xfId="69"/>
    <cellStyle name="Currency 3" xfId="15"/>
    <cellStyle name="Currency 30" xfId="71"/>
    <cellStyle name="Currency 31" xfId="73"/>
    <cellStyle name="Currency 32" xfId="75"/>
    <cellStyle name="Currency 33" xfId="78"/>
    <cellStyle name="Currency 34" xfId="81"/>
    <cellStyle name="Currency 35" xfId="84"/>
    <cellStyle name="Currency 36" xfId="87"/>
    <cellStyle name="Currency 4" xfId="16"/>
    <cellStyle name="Currency 5" xfId="17"/>
    <cellStyle name="Currency 6" xfId="18"/>
    <cellStyle name="Currency 7" xfId="23"/>
    <cellStyle name="Currency 8" xfId="25"/>
    <cellStyle name="Currency 9" xfId="27"/>
    <cellStyle name="Normal" xfId="0" builtinId="0"/>
    <cellStyle name="Normal 10" xfId="32"/>
    <cellStyle name="Normal 11" xfId="34"/>
    <cellStyle name="Normal 12" xfId="36"/>
    <cellStyle name="Normal 13" xfId="38"/>
    <cellStyle name="Normal 14" xfId="40"/>
    <cellStyle name="Normal 15" xfId="42"/>
    <cellStyle name="Normal 16" xfId="44"/>
    <cellStyle name="Normal 17" xfId="46"/>
    <cellStyle name="Normal 18" xfId="48"/>
    <cellStyle name="Normal 19" xfId="50"/>
    <cellStyle name="Normal 2" xfId="3"/>
    <cellStyle name="Normal 2 2" xfId="5"/>
    <cellStyle name="Normal 20" xfId="53"/>
    <cellStyle name="Normal 21" xfId="54"/>
    <cellStyle name="Normal 22" xfId="56"/>
    <cellStyle name="Normal 23" xfId="58"/>
    <cellStyle name="Normal 24" xfId="60"/>
    <cellStyle name="Normal 25" xfId="62"/>
    <cellStyle name="Normal 26" xfId="64"/>
    <cellStyle name="Normal 27" xfId="66"/>
    <cellStyle name="Normal 28" xfId="68"/>
    <cellStyle name="Normal 29" xfId="70"/>
    <cellStyle name="Normal 3" xfId="19"/>
    <cellStyle name="Normal 30" xfId="72"/>
    <cellStyle name="Normal 31" xfId="74"/>
    <cellStyle name="Normal 32" xfId="76"/>
    <cellStyle name="Normal 33" xfId="79"/>
    <cellStyle name="Normal 34" xfId="82"/>
    <cellStyle name="Normal 35" xfId="85"/>
    <cellStyle name="Normal 4" xfId="11"/>
    <cellStyle name="Normal 5" xfId="22"/>
    <cellStyle name="Normal 6" xfId="24"/>
    <cellStyle name="Normal 7" xfId="26"/>
    <cellStyle name="Normal 8" xfId="28"/>
    <cellStyle name="Normal 9" xfId="30"/>
    <cellStyle name="Normal_UniBankBetterment Matrix1" xfId="9"/>
    <cellStyle name="Percent" xfId="2" builtinId="5"/>
    <cellStyle name="Percent 2" xfId="7"/>
    <cellStyle name="Percent 2 2" xfId="8"/>
    <cellStyle name="Percent 3" xfId="20"/>
    <cellStyle name="Percent 4" xfId="21"/>
    <cellStyle name="Percent 5" xfId="77"/>
    <cellStyle name="Percent 6" xfId="80"/>
    <cellStyle name="Percent 7" xfId="83"/>
    <cellStyle name="Percent 8" xfId="86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00"/>
      <color rgb="FF0F02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2880360</xdr:colOff>
          <xdr:row>0</xdr:row>
          <xdr:rowOff>0</xdr:rowOff>
        </xdr:from>
        <xdr:to>
          <xdr:col>1</xdr:col>
          <xdr:colOff>3916680</xdr:colOff>
          <xdr:row>1</xdr:row>
          <xdr:rowOff>22860</xdr:rowOff>
        </xdr:to>
        <xdr:sp macro="" textlink="">
          <xdr:nvSpPr>
            <xdr:cNvPr id="269313" name="Button 1" hidden="1">
              <a:extLst>
                <a:ext uri="{63B3BB69-23CF-44E3-9099-C40C66FF867C}">
                  <a14:compatExt spid="_x0000_s269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Browse…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</xdr:row>
          <xdr:rowOff>60960</xdr:rowOff>
        </xdr:from>
        <xdr:to>
          <xdr:col>4</xdr:col>
          <xdr:colOff>861060</xdr:colOff>
          <xdr:row>3</xdr:row>
          <xdr:rowOff>114300</xdr:rowOff>
        </xdr:to>
        <xdr:sp macro="" textlink="">
          <xdr:nvSpPr>
            <xdr:cNvPr id="269315" name="Button 3" hidden="1">
              <a:extLst>
                <a:ext uri="{63B3BB69-23CF-44E3-9099-C40C66FF867C}">
                  <a14:compatExt spid="_x0000_s269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Create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4</xdr:row>
          <xdr:rowOff>0</xdr:rowOff>
        </xdr:from>
        <xdr:to>
          <xdr:col>1</xdr:col>
          <xdr:colOff>2057400</xdr:colOff>
          <xdr:row>5</xdr:row>
          <xdr:rowOff>0</xdr:rowOff>
        </xdr:to>
        <xdr:sp macro="" textlink="">
          <xdr:nvSpPr>
            <xdr:cNvPr id="269321" name="Button 9" hidden="1">
              <a:extLst>
                <a:ext uri="{63B3BB69-23CF-44E3-9099-C40C66FF867C}">
                  <a14:compatExt spid="_x0000_s269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Add Revenue Line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4</xdr:row>
          <xdr:rowOff>0</xdr:rowOff>
        </xdr:from>
        <xdr:to>
          <xdr:col>5</xdr:col>
          <xdr:colOff>838200</xdr:colOff>
          <xdr:row>5</xdr:row>
          <xdr:rowOff>0</xdr:rowOff>
        </xdr:to>
        <xdr:sp macro="" textlink="">
          <xdr:nvSpPr>
            <xdr:cNvPr id="269323" name="Button 11" hidden="1">
              <a:extLst>
                <a:ext uri="{63B3BB69-23CF-44E3-9099-C40C66FF867C}">
                  <a14:compatExt spid="_x0000_s269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Create Graphs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2476500</xdr:colOff>
          <xdr:row>1</xdr:row>
          <xdr:rowOff>83820</xdr:rowOff>
        </xdr:from>
        <xdr:to>
          <xdr:col>1</xdr:col>
          <xdr:colOff>4152900</xdr:colOff>
          <xdr:row>2</xdr:row>
          <xdr:rowOff>83820</xdr:rowOff>
        </xdr:to>
        <xdr:sp macro="" textlink="">
          <xdr:nvSpPr>
            <xdr:cNvPr id="269326" name="Button 14" hidden="1">
              <a:extLst>
                <a:ext uri="{63B3BB69-23CF-44E3-9099-C40C66FF867C}">
                  <a14:compatExt spid="_x0000_s269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Create Output Cases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411480</xdr:colOff>
          <xdr:row>67</xdr:row>
          <xdr:rowOff>0</xdr:rowOff>
        </xdr:from>
        <xdr:to>
          <xdr:col>7</xdr:col>
          <xdr:colOff>762000</xdr:colOff>
          <xdr:row>125</xdr:row>
          <xdr:rowOff>121920</xdr:rowOff>
        </xdr:to>
        <xdr:sp macro="" textlink="">
          <xdr:nvSpPr>
            <xdr:cNvPr id="4517890" name="Button 2" hidden="1">
              <a:extLst>
                <a:ext uri="{63B3BB69-23CF-44E3-9099-C40C66FF867C}">
                  <a14:compatExt spid="_x0000_s4517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Create Graphs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876300</xdr:colOff>
          <xdr:row>69</xdr:row>
          <xdr:rowOff>0</xdr:rowOff>
        </xdr:from>
        <xdr:to>
          <xdr:col>8</xdr:col>
          <xdr:colOff>1219200</xdr:colOff>
          <xdr:row>127</xdr:row>
          <xdr:rowOff>121920</xdr:rowOff>
        </xdr:to>
        <xdr:sp macro="" textlink="">
          <xdr:nvSpPr>
            <xdr:cNvPr id="6418433" name="Button 1" hidden="1">
              <a:extLst>
                <a:ext uri="{63B3BB69-23CF-44E3-9099-C40C66FF867C}">
                  <a14:compatExt spid="_x0000_s6418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Create Graphs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411480</xdr:colOff>
          <xdr:row>67</xdr:row>
          <xdr:rowOff>0</xdr:rowOff>
        </xdr:from>
        <xdr:to>
          <xdr:col>8</xdr:col>
          <xdr:colOff>762000</xdr:colOff>
          <xdr:row>125</xdr:row>
          <xdr:rowOff>121920</xdr:rowOff>
        </xdr:to>
        <xdr:sp macro="" textlink="">
          <xdr:nvSpPr>
            <xdr:cNvPr id="6576129" name="Button 1" hidden="1">
              <a:extLst>
                <a:ext uri="{63B3BB69-23CF-44E3-9099-C40C66FF867C}">
                  <a14:compatExt spid="_x0000_s6576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Create Graphs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t/Documents/Work/Orleans/AECOM%20Work/Files%20from%20AECOM%20(starting%20Nov%202)/60476644_Cost%20Estimates_v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t/Documents/Work/Plymouth/ReInvigoration/Latest%20Borrowing%20Stuff/13-03-05Plymouthfinancingplan1A%20-%20Matt%20Updat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t/Documents/Work/Plymouth/ReInvigoration/Files%20for%2009102013%20Meeting/A20YearBondsv3%20Before%207%20Percent%20Upda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t/Documents/Work/Orleans/AECOM%20Work/Model%20(Initial%20Work)/Orleans%20Financial%20Model%20Kluge%2010-30-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Model%20-%20Orleans%20-%20v13%20-%20Output%20Numbers%20Analysi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hasing"/>
      <sheetName val="Phasing Chart"/>
      <sheetName val="Collection - Downtown"/>
      <sheetName val="System Comparison - Downtown"/>
      <sheetName val="WWTF - Downtown"/>
      <sheetName val="Effluent Disposal - Downtown"/>
      <sheetName val="Collection - MP"/>
      <sheetName val="System Comparison - MP"/>
      <sheetName val="WWTF - MP"/>
      <sheetName val="Effluent Disposal - MP"/>
      <sheetName val="FCW - D1"/>
      <sheetName val="FCW - D2"/>
      <sheetName val="FCW - S1"/>
      <sheetName val="FCW - S2"/>
      <sheetName val="FCW - S3"/>
      <sheetName val="FCW - S4"/>
      <sheetName val="FCW - S5"/>
      <sheetName val="Aqua - D1"/>
      <sheetName val="Aqua - D2"/>
      <sheetName val="Aqua - S1"/>
      <sheetName val="Aqua - S2"/>
      <sheetName val="Aqua - S3"/>
      <sheetName val="Aqua - S4"/>
      <sheetName val="Aqua - S5"/>
      <sheetName val="PRB - D1"/>
      <sheetName val="PRB - D2"/>
      <sheetName val="PRB - S1"/>
      <sheetName val="PRB - S2"/>
      <sheetName val="PRB - S3"/>
      <sheetName val="PRB - S4"/>
      <sheetName val="PRB - S5"/>
      <sheetName val="Septic Impact Fee"/>
      <sheetName val="Assumptions"/>
      <sheetName val="Units"/>
      <sheetName val="PV"/>
      <sheetName val="Sheet2"/>
    </sheetNames>
    <sheetDataSet>
      <sheetData sheetId="0" refreshError="1"/>
      <sheetData sheetId="1">
        <row r="245">
          <cell r="E245">
            <v>0.03</v>
          </cell>
          <cell r="G245">
            <v>0.02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chool Only"/>
      <sheetName val="Summary part 1"/>
      <sheetName val="Summary part 2"/>
      <sheetName val="Existing"/>
      <sheetName val="Health Care BAN"/>
      <sheetName val="Land Acq"/>
      <sheetName val="Lease"/>
      <sheetName val="lease total"/>
      <sheetName val="lease general vs. water &amp; sewer"/>
      <sheetName val="DIF BANs"/>
      <sheetName val="MPL BANs"/>
      <sheetName val="MPL Amortization"/>
      <sheetName val="Building Remodeling BANs"/>
      <sheetName val="Remodeling &amp; Equip BANs"/>
      <sheetName val="Remod &amp; Equip P&amp;I 5.5%"/>
      <sheetName val="Remod &amp; Equip P&amp;I 5.0%"/>
      <sheetName val="Remod &amp; Equip P&amp;I 6.0%"/>
      <sheetName val="Remod &amp; Equip Amortization "/>
      <sheetName val="High School Cashflow"/>
      <sheetName val="HS BANs"/>
      <sheetName val="High School Amort July 2012 "/>
      <sheetName val="LTBonds High School July 2012"/>
      <sheetName val="Route 44 Phase 1 BANs"/>
      <sheetName val="Middle School Amort Sept 2012"/>
      <sheetName val="LTBonds Middle School Sept 2012"/>
      <sheetName val="Route 44 Phase 1 Bonds"/>
      <sheetName val="System Upgrades Phase 1 BANs"/>
      <sheetName val="System Upgrades Phase 1 Bonds"/>
      <sheetName val="Jordan &amp; Russell Mills Rd BANs"/>
      <sheetName val="Jordan &amp; Russell Mills Rd Bonds"/>
      <sheetName val="Efflent Disposal (outfall) BANs"/>
      <sheetName val="Effluent Dispos (outfall) Bonds"/>
      <sheetName val="Route 44 Phase 2 BANs"/>
      <sheetName val="Route 44 Phase 2 Bonds"/>
      <sheetName val="Upgrades &amp; Expansion BANs"/>
      <sheetName val="Upgrades &amp; Expansion Bonds"/>
      <sheetName val="Effluent Dispos (grdwater) BANs"/>
      <sheetName val="Effluent Dispos (grdwater) Bond"/>
      <sheetName val="Warren Avenue Area BANs"/>
      <sheetName val="Warren Avenue Area Bonds"/>
      <sheetName val="System Upgrades Phase 2 BANs"/>
      <sheetName val="System Upgrades Phase 2 Bonds"/>
      <sheetName val="Camelot Drive BANs"/>
      <sheetName val="Camelot Drive Bonds"/>
      <sheetName val="Sandwich Street Area BANs"/>
      <sheetName val="Sandwich Street Area Bonds"/>
      <sheetName val="CPA BANs"/>
      <sheetName val="CPA Amort Sept 2014"/>
      <sheetName val="LTBonds CPA Sept 2014"/>
      <sheetName val="LTBonds Middle School 2014"/>
      <sheetName val="Capital BANs"/>
      <sheetName val="Capital projects amort 2014"/>
      <sheetName val="LTBonds Cap Projects 2012"/>
      <sheetName val="prop amort Sept 2013"/>
      <sheetName val="LTBonds prop Sept 2013"/>
      <sheetName val="prop amort Sept 2014"/>
      <sheetName val="LTBonds prop Sept 2014"/>
      <sheetName val="prop amort Sept 2015"/>
      <sheetName val="LTBonds prop Sept 2015"/>
      <sheetName val="prop amort Sept 2016"/>
      <sheetName val="LTBonds prop Sept 2016"/>
      <sheetName val="prop amort Sept 2017"/>
      <sheetName val="LTBonds prop Sept 2017"/>
      <sheetName val="prop amort Sept 2018"/>
      <sheetName val="LTBonds prop Sept 2018"/>
      <sheetName val="LTBonds High School"/>
      <sheetName val="MSBA 2%"/>
      <sheetName val="Middle School Cashflow"/>
      <sheetName val="School Roof BANs"/>
      <sheetName val="LTBonds School Roof"/>
      <sheetName val="Application"/>
      <sheetName val="Application (2)"/>
      <sheetName val="HS SBAB"/>
      <sheetName val="MS SBAB"/>
      <sheetName val="Sheet3"/>
    </sheetNames>
    <sheetDataSet>
      <sheetData sheetId="0" refreshError="1"/>
      <sheetData sheetId="1" refreshError="1"/>
      <sheetData sheetId="2">
        <row r="23">
          <cell r="O23">
            <v>0.02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3">
          <cell r="B3" t="str">
            <v>Route 44 Industrial/Commercial Park - Phase 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chool Only"/>
      <sheetName val="Betterment Allocations (2)"/>
      <sheetName val="Betterment Summary"/>
      <sheetName val="Betterment Allocations"/>
      <sheetName val="Betterment to Debt Cash Flows"/>
      <sheetName val="Betterments"/>
      <sheetName val="Debt Summary"/>
      <sheetName val="Debt Summary by FY and Area"/>
      <sheetName val="Summary part 1"/>
      <sheetName val="Summary part 2"/>
      <sheetName val="Existing"/>
      <sheetName val="Health Care BAN"/>
      <sheetName val="Land Acq"/>
      <sheetName val="Lease"/>
      <sheetName val="lease total"/>
      <sheetName val="lease general vs. water &amp; sewer"/>
      <sheetName val="DIF BANs"/>
      <sheetName val="MPL BANs"/>
      <sheetName val="MPL Amortization"/>
      <sheetName val="Building Remodeling BANs"/>
      <sheetName val="Remodeling &amp; Equip BANs"/>
      <sheetName val="Remod &amp; Equip P&amp;I 5.5%"/>
      <sheetName val="Remod &amp; Equip P&amp;I 5.0%"/>
      <sheetName val="Remod &amp; Equip P&amp;I 6.0%"/>
      <sheetName val="Remod &amp; Equip Amortization "/>
      <sheetName val="High School Cashflow"/>
      <sheetName val="HS BANs"/>
      <sheetName val="High School Amort July 2012 "/>
      <sheetName val="LTBonds High School July 2012"/>
      <sheetName val="Route 44 Phase 1 BANs"/>
      <sheetName val="Middle School Amort Sept 2012"/>
      <sheetName val="LTBonds Middle School Sept 2012"/>
      <sheetName val="Route 44 Phase 1 Bonds"/>
      <sheetName val="System Upgrades Phase 1 BANs"/>
      <sheetName val="System Upgrades Phase 1 Bonds"/>
      <sheetName val="Jordan &amp; Russell Mills Rd BANs"/>
      <sheetName val="Jordan &amp; Russell Mills Rd Bonds"/>
      <sheetName val="Efflent Disposal (outfall) BANs"/>
      <sheetName val="Effluent Dispos (outfall) Bonds"/>
      <sheetName val="Route 44 Phase 2 BANs"/>
      <sheetName val="Route 44 Phase 2 Bonds"/>
      <sheetName val="Upgrades &amp; Expansion BANs"/>
      <sheetName val="Upgrades &amp; Expansion Bonds"/>
      <sheetName val="Effluent Dispos (grdwater) BANs"/>
      <sheetName val="Effluent Dispos (grdwater) Bond"/>
      <sheetName val="Warren Avenue Area BANs"/>
      <sheetName val="Warren Avenue Area Bonds"/>
      <sheetName val="System Upgrades Phase 2 BANs"/>
      <sheetName val="System Upgrades Phase 2 Bonds"/>
      <sheetName val="Camelot Drive BANs"/>
      <sheetName val="Camelot Drive Bonds"/>
      <sheetName val="Sandwich Street Area BANs"/>
      <sheetName val="Sandwich Street Area Bonds"/>
      <sheetName val="CPA BANs"/>
      <sheetName val="CPA Amort Sept 2014"/>
      <sheetName val="LTBonds CPA Sept 2014"/>
      <sheetName val="LTBonds Middle School 2014"/>
      <sheetName val="Capital BANs"/>
      <sheetName val="Capital projects amort 2014"/>
      <sheetName val="LTBonds Cap Projects 2012"/>
      <sheetName val="prop amort Sept 2013"/>
      <sheetName val="LTBonds prop Sept 2013"/>
      <sheetName val="prop amort Sept 2014"/>
      <sheetName val="LTBonds prop Sept 2014"/>
      <sheetName val="prop amort Sept 2015"/>
      <sheetName val="LTBonds prop Sept 2015"/>
      <sheetName val="prop amort Sept 2016"/>
      <sheetName val="LTBonds prop Sept 2016"/>
      <sheetName val="prop amort Sept 2017"/>
      <sheetName val="LTBonds prop Sept 2017"/>
      <sheetName val="prop amort Sept 2018"/>
      <sheetName val="LTBonds prop Sept 2018"/>
      <sheetName val="LTBonds High School"/>
      <sheetName val="MSBA 2%"/>
      <sheetName val="Middle School Cashflow"/>
      <sheetName val="School Roof BANs"/>
      <sheetName val="LTBonds School Roof"/>
      <sheetName val="Application"/>
      <sheetName val="Application (2)"/>
      <sheetName val="HS SBAB"/>
      <sheetName val="MS SBAB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3">
          <cell r="O23">
            <v>0.02</v>
          </cell>
        </row>
        <row r="25">
          <cell r="O25">
            <v>0.9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95">
          <cell r="F195">
            <v>126759608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Flow Summary"/>
      <sheetName val="II Capital Cost"/>
      <sheetName val="Pleasant Bay Watershead"/>
      <sheetName val="Nauset Mash Watershed"/>
      <sheetName val="1a Flow by Customer"/>
      <sheetName val="2 Sewer Department Budget"/>
      <sheetName val="2a Cost Allocation"/>
      <sheetName val="3b Non-Traditional"/>
      <sheetName val="Indirect Costs"/>
      <sheetName val="3a Traditional"/>
      <sheetName val="4 Capital Plan Summary"/>
      <sheetName val="5 Debt Service"/>
      <sheetName val="6 Cost Allocation Summary"/>
      <sheetName val="7 Reserves"/>
      <sheetName val="8 OFS"/>
      <sheetName val="9 Rate Calculation"/>
      <sheetName val="10 Revenue Proof"/>
      <sheetName val="User Rates"/>
      <sheetName val="2012 MMR-Town Estimates"/>
      <sheetName val="MMR Tenant Flows"/>
      <sheetName val="Tri-Town Plant"/>
      <sheetName val="Collection System"/>
      <sheetName val="Conttract Operations"/>
      <sheetName val="Sattelite Systems"/>
      <sheetName val="Septage"/>
      <sheetName val="Food Waste"/>
      <sheetName val="11 Fixed Assets"/>
      <sheetName val="Sheet1"/>
      <sheetName val="Graphs"/>
      <sheetName val="Impact Analysis"/>
      <sheetName val=" Hybrid Plan Costs"/>
      <sheetName val="Sheet3"/>
      <sheetName val="Assumptions"/>
      <sheetName val="Rate Projections"/>
      <sheetName val="Amort Schedule"/>
      <sheetName val="Version Tracker"/>
      <sheetName val="Rate Summary"/>
      <sheetName val="Case 1"/>
      <sheetName val="Case 2"/>
      <sheetName val="Case 3"/>
      <sheetName val="Case 4"/>
      <sheetName val="Case 5"/>
      <sheetName val="Case 6"/>
      <sheetName val="Case 7"/>
      <sheetName val="Rate Scenarios"/>
      <sheetName val="Property 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9">
          <cell r="E99">
            <v>1763.7462903555024</v>
          </cell>
          <cell r="F99" t="str">
            <v>Per Customer = Systemwide Average</v>
          </cell>
        </row>
      </sheetData>
      <sheetData sheetId="38">
        <row r="99">
          <cell r="E99">
            <v>1763.7462903555024</v>
          </cell>
        </row>
      </sheetData>
      <sheetData sheetId="39">
        <row r="81">
          <cell r="F81">
            <v>182791015</v>
          </cell>
        </row>
        <row r="99">
          <cell r="E99">
            <v>1554.6097550603845</v>
          </cell>
        </row>
      </sheetData>
      <sheetData sheetId="40">
        <row r="54">
          <cell r="E54">
            <v>354.91927307365194</v>
          </cell>
        </row>
        <row r="71">
          <cell r="E71">
            <v>354.91927307365194</v>
          </cell>
        </row>
        <row r="81">
          <cell r="F81">
            <v>143758834.33333331</v>
          </cell>
        </row>
        <row r="99">
          <cell r="E99">
            <v>1222.6470006236887</v>
          </cell>
        </row>
      </sheetData>
      <sheetData sheetId="41">
        <row r="54">
          <cell r="E54">
            <v>354.91927307365194</v>
          </cell>
        </row>
        <row r="71">
          <cell r="E71">
            <v>354.91927307365194</v>
          </cell>
        </row>
        <row r="97">
          <cell r="C97">
            <v>143758834.33333331</v>
          </cell>
        </row>
        <row r="99">
          <cell r="E99">
            <v>1222.6470006236887</v>
          </cell>
        </row>
      </sheetData>
      <sheetData sheetId="42">
        <row r="54">
          <cell r="E54">
            <v>259.31399979588366</v>
          </cell>
        </row>
        <row r="71">
          <cell r="E71">
            <v>259.3139997958836</v>
          </cell>
        </row>
        <row r="81">
          <cell r="F81">
            <v>143758834.33333331</v>
          </cell>
        </row>
        <row r="99">
          <cell r="E99">
            <v>1222.6470006236887</v>
          </cell>
        </row>
      </sheetData>
      <sheetData sheetId="43">
        <row r="54">
          <cell r="E54">
            <v>443.84115759823101</v>
          </cell>
        </row>
        <row r="71">
          <cell r="E71">
            <v>443.84115759823101</v>
          </cell>
        </row>
        <row r="81">
          <cell r="F81">
            <v>207381288.81999999</v>
          </cell>
        </row>
        <row r="99">
          <cell r="E99">
            <v>1763.7462903555024</v>
          </cell>
        </row>
      </sheetData>
      <sheetData sheetId="44"/>
      <sheetData sheetId="4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 Summary"/>
      <sheetName val="BANS Template"/>
      <sheetName val="Conventional Loan Template"/>
      <sheetName val="SRF Loan Template"/>
      <sheetName val="USDA Loan Template"/>
      <sheetName val="Betterment Template"/>
      <sheetName val="Septic Impact Fee Template"/>
      <sheetName val="Input File"/>
      <sheetName val="Output Cases Template"/>
      <sheetName val="Output Cases"/>
      <sheetName val="Output Cases Orig"/>
      <sheetName val="Program Summary Case 1"/>
      <sheetName val="Program Summary Case 2"/>
      <sheetName val="Program Summary Case 3"/>
      <sheetName val="Program Summary Case 4"/>
      <sheetName val="Program Summary Case 5"/>
      <sheetName val="Program Summary Case 6"/>
      <sheetName val="Program Summary Case 7"/>
      <sheetName val="Case 1 Loan 1"/>
      <sheetName val="Case 1 Loan 2"/>
      <sheetName val="Case 1 Loan 3"/>
      <sheetName val="Case 1 Loan 4"/>
      <sheetName val="Case 1 Loan 5"/>
      <sheetName val="Case 1 Loan 6"/>
      <sheetName val="Case 1 Loan 7"/>
      <sheetName val="Case 1 Loan 8"/>
      <sheetName val="Case 1 Loan 9"/>
      <sheetName val="Case 1 Loan 10"/>
      <sheetName val="Case 1 Loan 11"/>
      <sheetName val="Case 1 Loan 12"/>
      <sheetName val="Case 1 Loan 13"/>
      <sheetName val="Case 1 Loan 14"/>
      <sheetName val="Case 1 Loan 15"/>
      <sheetName val="Case 2 Loan 1"/>
      <sheetName val="Case 2 Loan 2"/>
      <sheetName val="Case 2 Loan 3"/>
      <sheetName val="Case 2 Loan 4"/>
      <sheetName val="Case 2 Loan 5"/>
      <sheetName val="Case 2 Loan 6"/>
      <sheetName val="Case 2 Loan 7"/>
      <sheetName val="Case 2 Loan 8"/>
      <sheetName val="Case 2 Loan 9"/>
      <sheetName val="Case 2 Loan 10"/>
      <sheetName val="Case 2 Loan 11"/>
      <sheetName val="Case 2 Loan 12"/>
      <sheetName val="Case 2 Loan 13"/>
      <sheetName val="Case 2 Loan 14"/>
      <sheetName val="Case 2 Loan 15"/>
      <sheetName val="Case 3 Loan 1"/>
      <sheetName val="Case 3 Loan 2"/>
      <sheetName val="Case 3 Loan 3"/>
      <sheetName val="Case 3 Loan 4"/>
      <sheetName val="Case 3 Loan 5"/>
      <sheetName val="Case 3 Loan 6"/>
      <sheetName val="Case 3 Loan 7"/>
      <sheetName val="Case 3 Loan 8"/>
      <sheetName val="Case 3 Loan 9"/>
      <sheetName val="Case 3 Loan 10"/>
      <sheetName val="Case 3 Loan 11"/>
      <sheetName val="Case 3 Loan 12"/>
      <sheetName val="Case 3 Loan 13"/>
      <sheetName val="Case 3 Loan 14"/>
      <sheetName val="Case 3 Loan 15"/>
      <sheetName val="Case 4 Loan 1"/>
      <sheetName val="Case 4 Loan 2"/>
      <sheetName val="Case 4 Loan 3"/>
      <sheetName val="Case 4 Loan 4"/>
      <sheetName val="Case 4 Loan 5"/>
      <sheetName val="Case 4 Loan 6"/>
      <sheetName val="Case 4 Loan 7"/>
      <sheetName val="Case 4 Loan 8"/>
      <sheetName val="Case 4 Loan 9"/>
      <sheetName val="Case 4 Loan 10"/>
      <sheetName val="Case 4 Loan 11"/>
      <sheetName val="Case 4 Loan 12"/>
      <sheetName val="Case 4 Loan 13"/>
      <sheetName val="Case 4 Loan 14"/>
      <sheetName val="Case 4 Loan 15"/>
      <sheetName val="Case 5 Loan 1"/>
      <sheetName val="Case 5 Loan 2"/>
      <sheetName val="Case 5 Loan 3"/>
      <sheetName val="Case 5 Loan 4"/>
      <sheetName val="Case 5 Loan 5"/>
      <sheetName val="Case 5 Loan 6"/>
      <sheetName val="Case 5 Loan 7"/>
      <sheetName val="Case 5 Loan 8"/>
      <sheetName val="Case 5 Loan 9"/>
      <sheetName val="Case 5 Loan 10"/>
      <sheetName val="Case 5 Loan 11"/>
      <sheetName val="Case 5 Loan 12"/>
      <sheetName val="Case 5 Loan 13"/>
      <sheetName val="Case 5 Loan 14"/>
      <sheetName val="Case 5 Loan 15"/>
      <sheetName val="Case 6 Loan 1"/>
      <sheetName val="Case 6 Loan 2"/>
      <sheetName val="Case 6 Loan 3"/>
      <sheetName val="Case 6 Loan 4"/>
      <sheetName val="Case 6 Loan 5"/>
      <sheetName val="Case 6 Loan 6"/>
      <sheetName val="Case 6 Loan 7"/>
      <sheetName val="Case 6 Loan 8"/>
      <sheetName val="Case 6 Loan 9"/>
      <sheetName val="Case 6 Loan 10"/>
      <sheetName val="Case 6 Loan 11"/>
      <sheetName val="Case 6 Loan 12"/>
      <sheetName val="Case 6 Loan 13"/>
      <sheetName val="Case 6 Loan 14"/>
      <sheetName val="Case 6 Loan 15"/>
      <sheetName val="Case 7 Loan 1"/>
      <sheetName val="Case 7 Loan 2"/>
      <sheetName val="Case 7 Loan 3"/>
      <sheetName val="Case 7 Loan 4"/>
      <sheetName val="Case 7 Loan 5"/>
      <sheetName val="Case 7 Loan 6"/>
      <sheetName val="Case 7 Loan 7"/>
      <sheetName val="Case 7 Loan 8"/>
      <sheetName val="Case 7 Loan 9"/>
      <sheetName val="Case 7 Loan 10"/>
      <sheetName val="Case 7 Loan 11"/>
      <sheetName val="Case 7 Loan 12"/>
      <sheetName val="Case 7 Loan 13"/>
      <sheetName val="Case 7 Loan 14"/>
      <sheetName val="Case 7 Loan 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6">
          <cell r="C16">
            <v>39269000</v>
          </cell>
          <cell r="D16">
            <v>8246490</v>
          </cell>
          <cell r="E16">
            <v>1615400</v>
          </cell>
          <cell r="F16">
            <v>690600</v>
          </cell>
          <cell r="G16">
            <v>98400</v>
          </cell>
        </row>
        <row r="22">
          <cell r="C22">
            <v>27903600</v>
          </cell>
          <cell r="D22">
            <v>5859756</v>
          </cell>
          <cell r="E22">
            <v>920900</v>
          </cell>
          <cell r="F22">
            <v>325500</v>
          </cell>
          <cell r="G22">
            <v>145600</v>
          </cell>
        </row>
        <row r="49">
          <cell r="C49">
            <v>20544800</v>
          </cell>
          <cell r="D49">
            <v>4314408</v>
          </cell>
          <cell r="E49">
            <v>1429700</v>
          </cell>
          <cell r="F49">
            <v>1491600</v>
          </cell>
          <cell r="G49">
            <v>3070200</v>
          </cell>
        </row>
      </sheetData>
      <sheetData sheetId="12">
        <row r="16">
          <cell r="C16">
            <v>39269000</v>
          </cell>
          <cell r="D16">
            <v>8246490</v>
          </cell>
          <cell r="E16">
            <v>1615400</v>
          </cell>
          <cell r="F16">
            <v>690600</v>
          </cell>
          <cell r="G16">
            <v>98400</v>
          </cell>
        </row>
        <row r="22">
          <cell r="C22">
            <v>27903600</v>
          </cell>
          <cell r="D22">
            <v>5859756</v>
          </cell>
          <cell r="E22">
            <v>920900</v>
          </cell>
          <cell r="F22">
            <v>325500</v>
          </cell>
          <cell r="G22">
            <v>145600</v>
          </cell>
        </row>
        <row r="49">
          <cell r="C49">
            <v>20544800</v>
          </cell>
          <cell r="D49">
            <v>4314408</v>
          </cell>
          <cell r="E49">
            <v>1429700</v>
          </cell>
          <cell r="F49">
            <v>1491600</v>
          </cell>
          <cell r="G49">
            <v>3070200</v>
          </cell>
        </row>
      </sheetData>
      <sheetData sheetId="13">
        <row r="16">
          <cell r="C16">
            <v>39269000</v>
          </cell>
          <cell r="D16">
            <v>8246490</v>
          </cell>
          <cell r="E16">
            <v>1615400</v>
          </cell>
          <cell r="F16">
            <v>690600</v>
          </cell>
          <cell r="G16">
            <v>98400</v>
          </cell>
        </row>
        <row r="22">
          <cell r="C22">
            <v>27903600</v>
          </cell>
          <cell r="D22">
            <v>5859756</v>
          </cell>
          <cell r="E22">
            <v>920900</v>
          </cell>
          <cell r="F22">
            <v>325500</v>
          </cell>
          <cell r="G22">
            <v>145600</v>
          </cell>
        </row>
        <row r="49">
          <cell r="C49">
            <v>20544800</v>
          </cell>
          <cell r="D49">
            <v>4314408</v>
          </cell>
          <cell r="E49">
            <v>1429700</v>
          </cell>
          <cell r="F49">
            <v>1491600</v>
          </cell>
          <cell r="G49">
            <v>3070200</v>
          </cell>
        </row>
      </sheetData>
      <sheetData sheetId="14">
        <row r="16">
          <cell r="C16">
            <v>39269000</v>
          </cell>
          <cell r="D16">
            <v>8246490</v>
          </cell>
          <cell r="E16">
            <v>1615400</v>
          </cell>
          <cell r="F16">
            <v>690600</v>
          </cell>
          <cell r="G16">
            <v>98400</v>
          </cell>
        </row>
        <row r="22">
          <cell r="C22">
            <v>27903600</v>
          </cell>
          <cell r="D22">
            <v>5859756</v>
          </cell>
          <cell r="E22">
            <v>920900</v>
          </cell>
          <cell r="F22">
            <v>325500</v>
          </cell>
          <cell r="G22">
            <v>145600</v>
          </cell>
        </row>
        <row r="49">
          <cell r="C49">
            <v>20544800</v>
          </cell>
          <cell r="D49">
            <v>4314408</v>
          </cell>
          <cell r="E49">
            <v>1429700</v>
          </cell>
          <cell r="F49">
            <v>1491600</v>
          </cell>
          <cell r="G49">
            <v>3070200</v>
          </cell>
        </row>
      </sheetData>
      <sheetData sheetId="15">
        <row r="16">
          <cell r="C16">
            <v>39269000</v>
          </cell>
          <cell r="D16">
            <v>913004.24999999988</v>
          </cell>
          <cell r="E16">
            <v>1615400</v>
          </cell>
          <cell r="F16">
            <v>690600</v>
          </cell>
          <cell r="G16">
            <v>98400</v>
          </cell>
        </row>
        <row r="22">
          <cell r="C22">
            <v>27903600</v>
          </cell>
          <cell r="D22">
            <v>648758.69999999984</v>
          </cell>
          <cell r="E22">
            <v>920900</v>
          </cell>
          <cell r="F22">
            <v>325500</v>
          </cell>
          <cell r="G22">
            <v>145600</v>
          </cell>
        </row>
        <row r="49">
          <cell r="C49">
            <v>20544800</v>
          </cell>
          <cell r="D49">
            <v>477666.6</v>
          </cell>
          <cell r="E49">
            <v>1429700</v>
          </cell>
          <cell r="F49">
            <v>1491600</v>
          </cell>
          <cell r="G49">
            <v>3070200</v>
          </cell>
        </row>
      </sheetData>
      <sheetData sheetId="16">
        <row r="16">
          <cell r="C16">
            <v>39269000</v>
          </cell>
          <cell r="D16">
            <v>913004.24999999988</v>
          </cell>
          <cell r="E16">
            <v>1615400</v>
          </cell>
          <cell r="F16">
            <v>690600</v>
          </cell>
          <cell r="G16">
            <v>98400</v>
          </cell>
        </row>
        <row r="22">
          <cell r="C22">
            <v>27903600</v>
          </cell>
          <cell r="D22">
            <v>648758.69999999984</v>
          </cell>
          <cell r="E22">
            <v>920900</v>
          </cell>
          <cell r="F22">
            <v>325500</v>
          </cell>
          <cell r="G22">
            <v>145600</v>
          </cell>
        </row>
        <row r="49">
          <cell r="C49">
            <v>20544800</v>
          </cell>
          <cell r="D49">
            <v>477666.6</v>
          </cell>
          <cell r="E49">
            <v>1429700</v>
          </cell>
          <cell r="F49">
            <v>1491600</v>
          </cell>
          <cell r="G49">
            <v>3070200</v>
          </cell>
        </row>
      </sheetData>
      <sheetData sheetId="17">
        <row r="16">
          <cell r="C16">
            <v>29451750</v>
          </cell>
          <cell r="D16">
            <v>684753.18749999988</v>
          </cell>
          <cell r="E16">
            <v>1615400</v>
          </cell>
          <cell r="F16">
            <v>690600</v>
          </cell>
          <cell r="G16">
            <v>98400</v>
          </cell>
        </row>
        <row r="22">
          <cell r="C22">
            <v>20927700</v>
          </cell>
          <cell r="D22">
            <v>486569.02499999991</v>
          </cell>
          <cell r="E22">
            <v>920900</v>
          </cell>
          <cell r="F22">
            <v>325500</v>
          </cell>
          <cell r="G22">
            <v>145600</v>
          </cell>
        </row>
        <row r="49">
          <cell r="C49">
            <v>15408600</v>
          </cell>
          <cell r="D49">
            <v>358249.95</v>
          </cell>
          <cell r="E49">
            <v>1429700</v>
          </cell>
          <cell r="F49">
            <v>1491600</v>
          </cell>
          <cell r="G49">
            <v>3070200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1">
    <pageSetUpPr fitToPage="1"/>
  </sheetPr>
  <dimension ref="B1:I7"/>
  <sheetViews>
    <sheetView tabSelected="1" workbookViewId="0">
      <selection activeCell="B8" sqref="B8"/>
    </sheetView>
  </sheetViews>
  <sheetFormatPr defaultColWidth="8.90625" defaultRowHeight="13.2" x14ac:dyDescent="0.25"/>
  <cols>
    <col min="1" max="1" width="1.08984375" style="1" customWidth="1"/>
    <col min="2" max="2" width="49.08984375" style="1" customWidth="1"/>
    <col min="3" max="3" width="14.54296875" style="1" bestFit="1" customWidth="1"/>
    <col min="4" max="4" width="9.54296875" style="1" bestFit="1" customWidth="1"/>
    <col min="5" max="5" width="14.54296875" style="1" bestFit="1" customWidth="1"/>
    <col min="6" max="6" width="13.90625" style="1" bestFit="1" customWidth="1"/>
    <col min="7" max="7" width="11.81640625" style="1" bestFit="1" customWidth="1"/>
    <col min="8" max="8" width="2.08984375" style="1" customWidth="1"/>
    <col min="9" max="9" width="8.90625" style="1" hidden="1" customWidth="1"/>
    <col min="10" max="10" width="10.36328125" style="1" bestFit="1" customWidth="1"/>
    <col min="11" max="16384" width="8.90625" style="1"/>
  </cols>
  <sheetData>
    <row r="1" spans="2:7" ht="12.75" customHeight="1" x14ac:dyDescent="0.25">
      <c r="B1" s="248" t="s">
        <v>10</v>
      </c>
      <c r="C1" s="399" t="s">
        <v>144</v>
      </c>
      <c r="D1" s="400"/>
      <c r="E1" s="401"/>
      <c r="F1" s="243" t="s">
        <v>148</v>
      </c>
      <c r="G1" s="247"/>
    </row>
    <row r="2" spans="2:7" x14ac:dyDescent="0.25">
      <c r="B2" s="249"/>
      <c r="C2" s="243" t="s">
        <v>147</v>
      </c>
      <c r="D2" s="402"/>
      <c r="E2" s="403"/>
      <c r="F2" s="244" t="s">
        <v>146</v>
      </c>
      <c r="G2" s="240"/>
    </row>
    <row r="3" spans="2:7" x14ac:dyDescent="0.25">
      <c r="B3" s="250" t="s">
        <v>9</v>
      </c>
      <c r="C3" s="253" t="s">
        <v>145</v>
      </c>
      <c r="D3" s="254"/>
      <c r="E3" s="238"/>
      <c r="F3" s="244" t="s">
        <v>149</v>
      </c>
      <c r="G3" s="241"/>
    </row>
    <row r="4" spans="2:7" x14ac:dyDescent="0.25">
      <c r="B4" s="251"/>
      <c r="C4" s="255" t="s">
        <v>153</v>
      </c>
      <c r="D4" s="256">
        <v>0</v>
      </c>
      <c r="E4" s="239"/>
      <c r="F4" s="245" t="s">
        <v>150</v>
      </c>
      <c r="G4" s="242"/>
    </row>
    <row r="5" spans="2:7" x14ac:dyDescent="0.25">
      <c r="B5" s="252"/>
      <c r="C5" s="252"/>
      <c r="D5" s="252"/>
      <c r="E5" s="252"/>
    </row>
    <row r="7" spans="2:7" x14ac:dyDescent="0.25">
      <c r="B7" s="252" t="s">
        <v>154</v>
      </c>
      <c r="C7" s="252" t="s">
        <v>151</v>
      </c>
      <c r="D7" s="252" t="s">
        <v>152</v>
      </c>
      <c r="E7" s="252" t="s">
        <v>1</v>
      </c>
    </row>
  </sheetData>
  <mergeCells count="2">
    <mergeCell ref="C1:E1"/>
    <mergeCell ref="D2:E2"/>
  </mergeCells>
  <dataValidations disablePrompts="1" count="3">
    <dataValidation type="list" allowBlank="1" showInputMessage="1" showErrorMessage="1" sqref="E2">
      <formula1>#REF!</formula1>
    </dataValidation>
    <dataValidation type="list" allowBlank="1" showInputMessage="1" showErrorMessage="1" sqref="D3">
      <formula1>"Conventional,SRF,USDA"</formula1>
    </dataValidation>
    <dataValidation type="list" allowBlank="1" showInputMessage="1" showErrorMessage="1" sqref="D2">
      <formula1>#REF!</formula1>
    </dataValidation>
  </dataValidations>
  <pageMargins left="0.1" right="0.1" top="0.75" bottom="0.75" header="0.3" footer="0.3"/>
  <pageSetup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9313" r:id="rId4" name="Button 1">
              <controlPr defaultSize="0" print="0" autoFill="0" autoPict="0" macro="[0]!SelectInputFile">
                <anchor moveWithCells="1">
                  <from>
                    <xdr:col>1</xdr:col>
                    <xdr:colOff>2880360</xdr:colOff>
                    <xdr:row>0</xdr:row>
                    <xdr:rowOff>0</xdr:rowOff>
                  </from>
                  <to>
                    <xdr:col>1</xdr:col>
                    <xdr:colOff>3916680</xdr:colOff>
                    <xdr:row>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15" r:id="rId5" name="Button 3">
              <controlPr defaultSize="0" print="0" autoFill="0" autoPict="0" macro="[0]!cmdCreateBorrowingButtonClicked">
                <anchor moveWithCells="1">
                  <from>
                    <xdr:col>4</xdr:col>
                    <xdr:colOff>228600</xdr:colOff>
                    <xdr:row>2</xdr:row>
                    <xdr:rowOff>60960</xdr:rowOff>
                  </from>
                  <to>
                    <xdr:col>4</xdr:col>
                    <xdr:colOff>861060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21" r:id="rId6" name="Button 9">
              <controlPr defaultSize="0" print="0" autoFill="0" autoPict="0" macro="[0]!cmdAddRevenueButtonClicked">
                <anchor moveWithCells="1">
                  <from>
                    <xdr:col>1</xdr:col>
                    <xdr:colOff>381000</xdr:colOff>
                    <xdr:row>4</xdr:row>
                    <xdr:rowOff>0</xdr:rowOff>
                  </from>
                  <to>
                    <xdr:col>1</xdr:col>
                    <xdr:colOff>2057400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23" r:id="rId7" name="Button 11">
              <controlPr defaultSize="0" print="0" autoFill="0" autoPict="0" macro="[0]!cmdCreateGraphsButtonClicked">
                <anchor moveWithCells="1">
                  <from>
                    <xdr:col>4</xdr:col>
                    <xdr:colOff>411480</xdr:colOff>
                    <xdr:row>4</xdr:row>
                    <xdr:rowOff>0</xdr:rowOff>
                  </from>
                  <to>
                    <xdr:col>5</xdr:col>
                    <xdr:colOff>838200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26" r:id="rId8" name="Button 14">
              <controlPr defaultSize="0" print="0" autoFill="0" autoPict="0" macro="[0]!CreateOutputCases">
                <anchor moveWithCells="1">
                  <from>
                    <xdr:col>1</xdr:col>
                    <xdr:colOff>2476500</xdr:colOff>
                    <xdr:row>1</xdr:row>
                    <xdr:rowOff>83820</xdr:rowOff>
                  </from>
                  <to>
                    <xdr:col>1</xdr:col>
                    <xdr:colOff>4152900</xdr:colOff>
                    <xdr:row>2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94">
    <pageSetUpPr fitToPage="1"/>
  </sheetPr>
  <dimension ref="A1:J218"/>
  <sheetViews>
    <sheetView zoomScale="80" zoomScaleNormal="80" workbookViewId="0">
      <selection sqref="A1:I1"/>
    </sheetView>
  </sheetViews>
  <sheetFormatPr defaultColWidth="8.90625" defaultRowHeight="15" x14ac:dyDescent="0.25"/>
  <cols>
    <col min="1" max="1" width="40.90625" style="260" customWidth="1"/>
    <col min="2" max="3" width="15.81640625" style="260" customWidth="1"/>
    <col min="4" max="5" width="14.81640625" style="260" customWidth="1"/>
    <col min="6" max="8" width="15.453125" style="260" customWidth="1"/>
    <col min="9" max="9" width="15.81640625" style="260" customWidth="1"/>
    <col min="10" max="10" width="15.1796875" style="260" hidden="1" customWidth="1"/>
    <col min="11" max="16384" width="8.90625" style="260"/>
  </cols>
  <sheetData>
    <row r="1" spans="1:10" ht="17.399999999999999" x14ac:dyDescent="0.3">
      <c r="A1" s="420" t="s">
        <v>201</v>
      </c>
      <c r="B1" s="420"/>
      <c r="C1" s="420"/>
      <c r="D1" s="420"/>
      <c r="E1" s="420"/>
      <c r="F1" s="420"/>
      <c r="G1" s="420"/>
      <c r="H1" s="420"/>
      <c r="I1" s="420"/>
    </row>
    <row r="2" spans="1:10" ht="17.399999999999999" x14ac:dyDescent="0.3">
      <c r="A2" s="420" t="s">
        <v>200</v>
      </c>
      <c r="B2" s="420"/>
      <c r="C2" s="420"/>
      <c r="D2" s="420"/>
      <c r="E2" s="420"/>
      <c r="F2" s="420"/>
      <c r="G2" s="420"/>
      <c r="H2" s="420"/>
      <c r="I2" s="420"/>
    </row>
    <row r="3" spans="1:10" ht="17.399999999999999" x14ac:dyDescent="0.3">
      <c r="A3" s="421" t="s">
        <v>155</v>
      </c>
      <c r="B3" s="421"/>
      <c r="C3" s="421"/>
      <c r="D3" s="421"/>
      <c r="E3" s="421"/>
      <c r="F3" s="421"/>
      <c r="G3" s="421"/>
      <c r="H3" s="421"/>
      <c r="I3" s="421"/>
    </row>
    <row r="4" spans="1:10" ht="24.75" customHeight="1" x14ac:dyDescent="0.25">
      <c r="A4" s="422" t="s">
        <v>156</v>
      </c>
      <c r="B4" s="422"/>
      <c r="C4" s="422"/>
      <c r="D4" s="422"/>
      <c r="E4" s="422"/>
      <c r="F4" s="422"/>
      <c r="G4" s="422"/>
      <c r="H4" s="422"/>
      <c r="I4" s="422"/>
    </row>
    <row r="5" spans="1:10" ht="6.75" customHeight="1" x14ac:dyDescent="0.25"/>
    <row r="6" spans="1:10" ht="15.6" x14ac:dyDescent="0.3">
      <c r="B6" s="423" t="s">
        <v>157</v>
      </c>
      <c r="C6" s="423"/>
      <c r="D6" s="423"/>
      <c r="E6" s="423"/>
      <c r="F6" s="423"/>
      <c r="G6" s="423"/>
      <c r="H6" s="423"/>
      <c r="I6" s="423"/>
    </row>
    <row r="7" spans="1:10" ht="15.6" x14ac:dyDescent="0.3">
      <c r="B7" s="353" t="s">
        <v>219</v>
      </c>
      <c r="C7" s="354" t="s">
        <v>158</v>
      </c>
      <c r="D7" s="354" t="s">
        <v>159</v>
      </c>
      <c r="E7" s="354" t="s">
        <v>160</v>
      </c>
      <c r="F7" s="354" t="s">
        <v>161</v>
      </c>
      <c r="G7" s="354" t="s">
        <v>162</v>
      </c>
      <c r="H7" s="354" t="s">
        <v>163</v>
      </c>
      <c r="I7" s="354" t="s">
        <v>292</v>
      </c>
    </row>
    <row r="8" spans="1:10" ht="87.75" customHeight="1" x14ac:dyDescent="0.25">
      <c r="A8" s="262" t="s">
        <v>164</v>
      </c>
      <c r="B8" s="263" t="s">
        <v>261</v>
      </c>
      <c r="C8" s="263" t="s">
        <v>262</v>
      </c>
      <c r="D8" s="263" t="str">
        <f>"Case 2 with       "&amp;TEXT(D9,"0%")&amp;" Betterments  "</f>
        <v xml:space="preserve">Case 2 with       20% Betterments  </v>
      </c>
      <c r="E8" s="263" t="str">
        <f>"Case 2 with       "&amp;TEXT(E9,"0%")&amp;" Betterments  "</f>
        <v xml:space="preserve">Case 2 with       80% Betterments  </v>
      </c>
      <c r="F8" s="263" t="str">
        <f>"Case 2 w/ "&amp;TEXT(F9,"0%")&amp;" Betterments                  (Users pay for WW solutions in their area only)"</f>
        <v>Case 2 w/ 100% Betterments                  (Users pay for WW solutions in their area only)</v>
      </c>
      <c r="G8" s="263" t="str">
        <f>"  "&amp;TEXT(G9,"0%")&amp;" Betterments  "&amp;TEXT(G11,"0%")&amp;" "&amp;TEXT(G10,"0")&amp;"-year SRF"</f>
        <v xml:space="preserve">  20% Betterments  0% 20-year SRF</v>
      </c>
      <c r="H8" s="263" t="str">
        <f>"  "&amp;TEXT(H9,"0%")&amp;" Betterments  "&amp;TEXT(H11,"0%")&amp;" "&amp;TEXT(H10,"0")&amp;"-year SRF    Septage Revenue"</f>
        <v xml:space="preserve">  20% Betterments  0% 20-year SRF    Septage Revenue</v>
      </c>
      <c r="I8" s="263" t="str">
        <f>"  "&amp;TEXT(I9,"0%")&amp;" Betterments  "&amp;TEXT(I11,"0%")&amp;" "&amp;TEXT(I10,"0")&amp;"-year SRF    Septage Revenue     25% Grant"</f>
        <v xml:space="preserve">  20% Betterments  0% 20-year SRF    Septage Revenue     25% Grant</v>
      </c>
      <c r="J8" s="264" t="s">
        <v>165</v>
      </c>
    </row>
    <row r="9" spans="1:10" ht="22.95" customHeight="1" x14ac:dyDescent="0.3">
      <c r="A9" s="265" t="s">
        <v>166</v>
      </c>
      <c r="B9" s="266">
        <v>0</v>
      </c>
      <c r="C9" s="266">
        <v>0</v>
      </c>
      <c r="D9" s="266">
        <v>0.2</v>
      </c>
      <c r="E9" s="266">
        <v>0.8</v>
      </c>
      <c r="F9" s="266">
        <v>1</v>
      </c>
      <c r="G9" s="266">
        <v>0.2</v>
      </c>
      <c r="H9" s="266">
        <v>0.2</v>
      </c>
      <c r="I9" s="266">
        <v>0.2</v>
      </c>
      <c r="J9" s="267"/>
    </row>
    <row r="10" spans="1:10" ht="22.95" customHeight="1" x14ac:dyDescent="0.3">
      <c r="A10" s="265" t="s">
        <v>167</v>
      </c>
      <c r="B10" s="265">
        <v>20</v>
      </c>
      <c r="C10" s="265">
        <v>20</v>
      </c>
      <c r="D10" s="265">
        <v>20</v>
      </c>
      <c r="E10" s="265">
        <v>20</v>
      </c>
      <c r="F10" s="265">
        <v>20</v>
      </c>
      <c r="G10" s="265">
        <v>20</v>
      </c>
      <c r="H10" s="265">
        <v>20</v>
      </c>
      <c r="I10" s="265">
        <v>20</v>
      </c>
      <c r="J10" s="267"/>
    </row>
    <row r="11" spans="1:10" ht="22.95" customHeight="1" x14ac:dyDescent="0.3">
      <c r="A11" s="265" t="s">
        <v>168</v>
      </c>
      <c r="B11" s="266">
        <v>0.02</v>
      </c>
      <c r="C11" s="266">
        <v>0.02</v>
      </c>
      <c r="D11" s="266">
        <v>0.02</v>
      </c>
      <c r="E11" s="266">
        <v>0.02</v>
      </c>
      <c r="F11" s="266">
        <v>0.02</v>
      </c>
      <c r="G11" s="266">
        <v>0</v>
      </c>
      <c r="H11" s="266">
        <v>0</v>
      </c>
      <c r="I11" s="266">
        <v>0</v>
      </c>
      <c r="J11" s="267"/>
    </row>
    <row r="12" spans="1:10" ht="22.95" customHeight="1" x14ac:dyDescent="0.3">
      <c r="A12" s="265" t="s">
        <v>169</v>
      </c>
      <c r="B12" s="266">
        <v>0</v>
      </c>
      <c r="C12" s="266">
        <v>0</v>
      </c>
      <c r="D12" s="266">
        <v>0</v>
      </c>
      <c r="E12" s="266">
        <v>0</v>
      </c>
      <c r="F12" s="266">
        <v>0</v>
      </c>
      <c r="G12" s="266">
        <v>0</v>
      </c>
      <c r="H12" s="266">
        <v>0</v>
      </c>
      <c r="I12" s="266">
        <v>0.25</v>
      </c>
      <c r="J12" s="267"/>
    </row>
    <row r="13" spans="1:10" ht="22.95" customHeight="1" x14ac:dyDescent="0.3">
      <c r="A13" s="265" t="s">
        <v>170</v>
      </c>
      <c r="B13" s="269">
        <v>0</v>
      </c>
      <c r="C13" s="269">
        <v>0</v>
      </c>
      <c r="D13" s="269">
        <v>0</v>
      </c>
      <c r="E13" s="269">
        <v>0</v>
      </c>
      <c r="F13" s="269">
        <v>0</v>
      </c>
      <c r="G13" s="269">
        <v>0</v>
      </c>
      <c r="H13" s="270">
        <f>B139</f>
        <v>883300</v>
      </c>
      <c r="I13" s="270">
        <f>B139</f>
        <v>883300</v>
      </c>
      <c r="J13" s="267"/>
    </row>
    <row r="14" spans="1:10" ht="11.25" customHeight="1" x14ac:dyDescent="0.3">
      <c r="A14" s="271"/>
      <c r="B14" s="272"/>
      <c r="C14" s="272"/>
      <c r="D14" s="272"/>
      <c r="E14" s="272"/>
      <c r="F14" s="272"/>
      <c r="G14" s="272"/>
      <c r="H14" s="272"/>
      <c r="I14" s="272"/>
      <c r="J14" s="273"/>
    </row>
    <row r="15" spans="1:10" ht="22.2" customHeight="1" x14ac:dyDescent="0.3">
      <c r="A15" s="274" t="s">
        <v>237</v>
      </c>
      <c r="B15" s="270" t="e">
        <f>#REF!+#REF!+(#REF!*$F$132)+#REF!+(#REF!*$F$132)</f>
        <v>#REF!</v>
      </c>
      <c r="C15" s="270" t="e">
        <f>#REF!+#REF!+(#REF!*$F$132)+#REF!+(#REF!*$F$132)</f>
        <v>#REF!</v>
      </c>
      <c r="D15" s="270" t="e">
        <f>#REF!+#REF!+(#REF!*$F$132)+#REF!+(#REF!*$F$132)</f>
        <v>#REF!</v>
      </c>
      <c r="E15" s="270" t="e">
        <f>#REF!+#REF!+(#REF!*$F$132)+#REF!+(#REF!*$F$132)</f>
        <v>#REF!</v>
      </c>
      <c r="F15" s="270" t="e">
        <f>#REF!+#REF!+(#REF!*$F$132)+#REF!+(#REF!*$F$132)</f>
        <v>#REF!</v>
      </c>
      <c r="G15" s="270" t="e">
        <f>#REF!+#REF!+(#REF!*$F$132)+#REF!+(#REF!*$F$132)</f>
        <v>#REF!</v>
      </c>
      <c r="H15" s="270" t="e">
        <f>#REF!+#REF!+(#REF!*$F$132)+#REF!+(#REF!*$F$132)</f>
        <v>#REF!</v>
      </c>
      <c r="I15" s="270" t="e">
        <f>#REF!+#REF!+(#REF!*$F$132)+#REF!+(#REF!*$F$132)</f>
        <v>#REF!</v>
      </c>
      <c r="J15" s="267"/>
    </row>
    <row r="16" spans="1:10" ht="21.6" hidden="1" customHeight="1" x14ac:dyDescent="0.3">
      <c r="A16" s="274" t="s">
        <v>171</v>
      </c>
      <c r="B16" s="276">
        <v>0</v>
      </c>
      <c r="C16" s="276">
        <v>0</v>
      </c>
      <c r="D16" s="276">
        <v>0</v>
      </c>
      <c r="E16" s="276">
        <v>0</v>
      </c>
      <c r="F16" s="276">
        <v>0</v>
      </c>
      <c r="G16" s="276">
        <v>0</v>
      </c>
      <c r="H16" s="276">
        <v>0</v>
      </c>
      <c r="I16" s="276">
        <v>0</v>
      </c>
      <c r="J16" s="267"/>
    </row>
    <row r="17" spans="1:10" ht="21.6" hidden="1" customHeight="1" x14ac:dyDescent="0.3">
      <c r="A17" s="274" t="s">
        <v>238</v>
      </c>
      <c r="B17" s="270" t="e">
        <f>+B15-B16</f>
        <v>#REF!</v>
      </c>
      <c r="C17" s="270" t="e">
        <f>+C15-C16</f>
        <v>#REF!</v>
      </c>
      <c r="D17" s="270" t="e">
        <f t="shared" ref="D17:I17" si="0">+D15-D16</f>
        <v>#REF!</v>
      </c>
      <c r="E17" s="270" t="e">
        <f t="shared" si="0"/>
        <v>#REF!</v>
      </c>
      <c r="F17" s="270" t="e">
        <f t="shared" si="0"/>
        <v>#REF!</v>
      </c>
      <c r="G17" s="270" t="e">
        <f t="shared" si="0"/>
        <v>#REF!</v>
      </c>
      <c r="H17" s="270" t="e">
        <f t="shared" si="0"/>
        <v>#REF!</v>
      </c>
      <c r="I17" s="270" t="e">
        <f t="shared" si="0"/>
        <v>#REF!</v>
      </c>
      <c r="J17" s="267"/>
    </row>
    <row r="18" spans="1:10" ht="11.25" customHeight="1" x14ac:dyDescent="0.3">
      <c r="A18" s="271"/>
      <c r="B18" s="272"/>
      <c r="C18" s="272"/>
      <c r="D18" s="272"/>
      <c r="E18" s="272"/>
      <c r="F18" s="272"/>
      <c r="G18" s="272"/>
      <c r="H18" s="272"/>
      <c r="I18" s="272"/>
      <c r="J18" s="273"/>
    </row>
    <row r="19" spans="1:10" ht="17.399999999999999" customHeight="1" x14ac:dyDescent="0.3">
      <c r="A19" s="274" t="s">
        <v>239</v>
      </c>
      <c r="B19" s="276"/>
      <c r="C19" s="276"/>
      <c r="D19" s="276"/>
      <c r="E19" s="276"/>
      <c r="F19" s="276"/>
      <c r="G19" s="276"/>
      <c r="H19" s="276"/>
      <c r="I19" s="276"/>
      <c r="J19" s="267"/>
    </row>
    <row r="20" spans="1:10" ht="20.399999999999999" customHeight="1" x14ac:dyDescent="0.3">
      <c r="A20" s="277" t="s">
        <v>240</v>
      </c>
      <c r="B20" s="276" t="e">
        <f>#REF!</f>
        <v>#REF!</v>
      </c>
      <c r="C20" s="276" t="e">
        <f>#REF!</f>
        <v>#REF!</v>
      </c>
      <c r="D20" s="276" t="e">
        <f>#REF!</f>
        <v>#REF!</v>
      </c>
      <c r="E20" s="276" t="e">
        <f>#REF!</f>
        <v>#REF!</v>
      </c>
      <c r="F20" s="276" t="e">
        <f>#REF!</f>
        <v>#REF!</v>
      </c>
      <c r="G20" s="276" t="e">
        <f>#REF!</f>
        <v>#REF!</v>
      </c>
      <c r="H20" s="276" t="e">
        <f>#REF!</f>
        <v>#REF!</v>
      </c>
      <c r="I20" s="276" t="e">
        <f>#REF!</f>
        <v>#REF!</v>
      </c>
      <c r="J20" s="267"/>
    </row>
    <row r="21" spans="1:10" ht="20.399999999999999" customHeight="1" x14ac:dyDescent="0.3">
      <c r="A21" s="277" t="s">
        <v>241</v>
      </c>
      <c r="B21" s="276" t="e">
        <f>#REF!</f>
        <v>#REF!</v>
      </c>
      <c r="C21" s="276" t="e">
        <f>#REF!</f>
        <v>#REF!</v>
      </c>
      <c r="D21" s="276" t="e">
        <f>#REF!</f>
        <v>#REF!</v>
      </c>
      <c r="E21" s="276" t="e">
        <f>#REF!</f>
        <v>#REF!</v>
      </c>
      <c r="F21" s="276" t="e">
        <f>#REF!</f>
        <v>#REF!</v>
      </c>
      <c r="G21" s="276" t="e">
        <f>#REF!</f>
        <v>#REF!</v>
      </c>
      <c r="H21" s="276" t="e">
        <f>#REF!</f>
        <v>#REF!</v>
      </c>
      <c r="I21" s="276" t="e">
        <f>#REF!</f>
        <v>#REF!</v>
      </c>
      <c r="J21" s="267"/>
    </row>
    <row r="22" spans="1:10" ht="20.25" customHeight="1" x14ac:dyDescent="0.3">
      <c r="A22" s="277" t="s">
        <v>242</v>
      </c>
      <c r="B22" s="276" t="e">
        <f>#REF!</f>
        <v>#REF!</v>
      </c>
      <c r="C22" s="276" t="e">
        <f>#REF!</f>
        <v>#REF!</v>
      </c>
      <c r="D22" s="276" t="e">
        <f>#REF!</f>
        <v>#REF!</v>
      </c>
      <c r="E22" s="276" t="e">
        <f>#REF!</f>
        <v>#REF!</v>
      </c>
      <c r="F22" s="276" t="e">
        <f>#REF!</f>
        <v>#REF!</v>
      </c>
      <c r="G22" s="276" t="e">
        <f>#REF!</f>
        <v>#REF!</v>
      </c>
      <c r="H22" s="276" t="e">
        <f>#REF!</f>
        <v>#REF!</v>
      </c>
      <c r="I22" s="276" t="e">
        <f>#REF!</f>
        <v>#REF!</v>
      </c>
      <c r="J22" s="267"/>
    </row>
    <row r="23" spans="1:10" ht="20.25" hidden="1" customHeight="1" x14ac:dyDescent="0.3">
      <c r="A23" s="338" t="s">
        <v>4</v>
      </c>
      <c r="B23" s="270" t="e">
        <f>SUM(B20:B22)</f>
        <v>#REF!</v>
      </c>
      <c r="C23" s="270" t="e">
        <f>SUM(C20:C22)</f>
        <v>#REF!</v>
      </c>
      <c r="D23" s="270" t="e">
        <f t="shared" ref="D23:I23" si="1">SUM(D20:D22)</f>
        <v>#REF!</v>
      </c>
      <c r="E23" s="270" t="e">
        <f t="shared" si="1"/>
        <v>#REF!</v>
      </c>
      <c r="F23" s="270" t="e">
        <f t="shared" si="1"/>
        <v>#REF!</v>
      </c>
      <c r="G23" s="270" t="e">
        <f t="shared" si="1"/>
        <v>#REF!</v>
      </c>
      <c r="H23" s="270" t="e">
        <f t="shared" si="1"/>
        <v>#REF!</v>
      </c>
      <c r="I23" s="270" t="e">
        <f t="shared" si="1"/>
        <v>#REF!</v>
      </c>
      <c r="J23" s="267"/>
    </row>
    <row r="24" spans="1:10" ht="11.25" hidden="1" customHeight="1" x14ac:dyDescent="0.3">
      <c r="A24" s="271"/>
      <c r="B24" s="272"/>
      <c r="C24" s="272"/>
      <c r="D24" s="272"/>
      <c r="E24" s="272"/>
      <c r="F24" s="272"/>
      <c r="G24" s="272"/>
      <c r="H24" s="272"/>
      <c r="I24" s="272"/>
      <c r="J24" s="273"/>
    </row>
    <row r="25" spans="1:10" ht="17.399999999999999" hidden="1" customHeight="1" x14ac:dyDescent="0.3">
      <c r="A25" s="274" t="s">
        <v>243</v>
      </c>
      <c r="B25" s="276"/>
      <c r="C25" s="276"/>
      <c r="D25" s="276"/>
      <c r="E25" s="276"/>
      <c r="F25" s="276"/>
      <c r="G25" s="276"/>
      <c r="H25" s="276"/>
      <c r="I25" s="276"/>
      <c r="J25" s="267"/>
    </row>
    <row r="26" spans="1:10" ht="20.399999999999999" hidden="1" customHeight="1" x14ac:dyDescent="0.3">
      <c r="A26" s="277" t="s">
        <v>240</v>
      </c>
      <c r="B26" s="276" t="e">
        <f>#REF!</f>
        <v>#REF!</v>
      </c>
      <c r="C26" s="276" t="e">
        <f>#REF!</f>
        <v>#REF!</v>
      </c>
      <c r="D26" s="276" t="e">
        <f>#REF!</f>
        <v>#REF!</v>
      </c>
      <c r="E26" s="276" t="e">
        <f>#REF!</f>
        <v>#REF!</v>
      </c>
      <c r="F26" s="276" t="e">
        <f>#REF!</f>
        <v>#REF!</v>
      </c>
      <c r="G26" s="276" t="e">
        <f>#REF!</f>
        <v>#REF!</v>
      </c>
      <c r="H26" s="276" t="e">
        <f>#REF!</f>
        <v>#REF!</v>
      </c>
      <c r="I26" s="276" t="e">
        <f>#REF!</f>
        <v>#REF!</v>
      </c>
      <c r="J26" s="267"/>
    </row>
    <row r="27" spans="1:10" ht="20.399999999999999" hidden="1" customHeight="1" x14ac:dyDescent="0.3">
      <c r="A27" s="277" t="s">
        <v>241</v>
      </c>
      <c r="B27" s="276" t="e">
        <f>#REF!</f>
        <v>#REF!</v>
      </c>
      <c r="C27" s="276" t="e">
        <f>#REF!</f>
        <v>#REF!</v>
      </c>
      <c r="D27" s="276" t="e">
        <f>#REF!</f>
        <v>#REF!</v>
      </c>
      <c r="E27" s="276" t="e">
        <f>#REF!</f>
        <v>#REF!</v>
      </c>
      <c r="F27" s="276" t="e">
        <f>#REF!</f>
        <v>#REF!</v>
      </c>
      <c r="G27" s="276" t="e">
        <f>#REF!</f>
        <v>#REF!</v>
      </c>
      <c r="H27" s="276" t="e">
        <f>#REF!</f>
        <v>#REF!</v>
      </c>
      <c r="I27" s="276" t="e">
        <f>#REF!</f>
        <v>#REF!</v>
      </c>
      <c r="J27" s="267"/>
    </row>
    <row r="28" spans="1:10" ht="20.25" hidden="1" customHeight="1" x14ac:dyDescent="0.3">
      <c r="A28" s="277" t="s">
        <v>242</v>
      </c>
      <c r="B28" s="276" t="e">
        <f>#REF!</f>
        <v>#REF!</v>
      </c>
      <c r="C28" s="276" t="e">
        <f>#REF!</f>
        <v>#REF!</v>
      </c>
      <c r="D28" s="276" t="e">
        <f>#REF!</f>
        <v>#REF!</v>
      </c>
      <c r="E28" s="276" t="e">
        <f>#REF!</f>
        <v>#REF!</v>
      </c>
      <c r="F28" s="276" t="e">
        <f>#REF!</f>
        <v>#REF!</v>
      </c>
      <c r="G28" s="276" t="e">
        <f>#REF!</f>
        <v>#REF!</v>
      </c>
      <c r="H28" s="276" t="e">
        <f>#REF!</f>
        <v>#REF!</v>
      </c>
      <c r="I28" s="276" t="e">
        <f>#REF!</f>
        <v>#REF!</v>
      </c>
      <c r="J28" s="267"/>
    </row>
    <row r="29" spans="1:10" ht="20.25" hidden="1" customHeight="1" x14ac:dyDescent="0.3">
      <c r="A29" s="338" t="s">
        <v>4</v>
      </c>
      <c r="B29" s="270" t="e">
        <f>SUM(B26:B28)</f>
        <v>#REF!</v>
      </c>
      <c r="C29" s="270" t="e">
        <f>SUM(C26:C28)</f>
        <v>#REF!</v>
      </c>
      <c r="D29" s="270" t="e">
        <f t="shared" ref="D29:I29" si="2">SUM(D26:D28)</f>
        <v>#REF!</v>
      </c>
      <c r="E29" s="270" t="e">
        <f t="shared" si="2"/>
        <v>#REF!</v>
      </c>
      <c r="F29" s="270" t="e">
        <f t="shared" si="2"/>
        <v>#REF!</v>
      </c>
      <c r="G29" s="270" t="e">
        <f t="shared" si="2"/>
        <v>#REF!</v>
      </c>
      <c r="H29" s="270" t="e">
        <f t="shared" si="2"/>
        <v>#REF!</v>
      </c>
      <c r="I29" s="270" t="e">
        <f t="shared" si="2"/>
        <v>#REF!</v>
      </c>
      <c r="J29" s="267"/>
    </row>
    <row r="30" spans="1:10" ht="11.25" hidden="1" customHeight="1" x14ac:dyDescent="0.3">
      <c r="A30" s="271"/>
      <c r="B30" s="272"/>
      <c r="C30" s="272"/>
      <c r="D30" s="272"/>
      <c r="E30" s="272"/>
      <c r="F30" s="272"/>
      <c r="G30" s="272"/>
      <c r="H30" s="272"/>
      <c r="I30" s="272"/>
      <c r="J30" s="273"/>
    </row>
    <row r="31" spans="1:10" ht="17.399999999999999" hidden="1" customHeight="1" x14ac:dyDescent="0.3">
      <c r="A31" s="274" t="s">
        <v>244</v>
      </c>
      <c r="B31" s="276"/>
      <c r="C31" s="276"/>
      <c r="D31" s="276"/>
      <c r="E31" s="276"/>
      <c r="F31" s="276"/>
      <c r="G31" s="276"/>
      <c r="H31" s="276"/>
      <c r="I31" s="276"/>
      <c r="J31" s="267"/>
    </row>
    <row r="32" spans="1:10" ht="20.399999999999999" hidden="1" customHeight="1" x14ac:dyDescent="0.3">
      <c r="A32" s="277" t="s">
        <v>240</v>
      </c>
      <c r="B32" s="276" t="e">
        <f>#REF!+(#REF!/$F$132)+#REF!</f>
        <v>#REF!</v>
      </c>
      <c r="C32" s="276" t="e">
        <f>#REF!+(#REF!/$F$132)+#REF!</f>
        <v>#REF!</v>
      </c>
      <c r="D32" s="276" t="e">
        <f>#REF!+(#REF!/$F$132)+#REF!</f>
        <v>#REF!</v>
      </c>
      <c r="E32" s="276" t="e">
        <f>#REF!+(#REF!/$F$132)+#REF!</f>
        <v>#REF!</v>
      </c>
      <c r="F32" s="276" t="e">
        <f>#REF!+(#REF!/$F$132)+#REF!</f>
        <v>#REF!</v>
      </c>
      <c r="G32" s="276" t="e">
        <f>#REF!+(#REF!/$F$132)+#REF!</f>
        <v>#REF!</v>
      </c>
      <c r="H32" s="276" t="e">
        <f>#REF!+(#REF!/$F$132)+#REF!</f>
        <v>#REF!</v>
      </c>
      <c r="I32" s="276" t="e">
        <f>#REF!+(#REF!/$F$132)+#REF!</f>
        <v>#REF!</v>
      </c>
      <c r="J32" s="267"/>
    </row>
    <row r="33" spans="1:10" ht="20.399999999999999" hidden="1" customHeight="1" x14ac:dyDescent="0.3">
      <c r="A33" s="277" t="s">
        <v>241</v>
      </c>
      <c r="B33" s="276" t="e">
        <f>#REF!+(#REF!/$F$132)+#REF!</f>
        <v>#REF!</v>
      </c>
      <c r="C33" s="276" t="e">
        <f>#REF!+(#REF!/$F$132)+#REF!</f>
        <v>#REF!</v>
      </c>
      <c r="D33" s="276" t="e">
        <f>#REF!+(#REF!/$F$132)+#REF!</f>
        <v>#REF!</v>
      </c>
      <c r="E33" s="276" t="e">
        <f>#REF!+(#REF!/$F$132)+#REF!</f>
        <v>#REF!</v>
      </c>
      <c r="F33" s="276" t="e">
        <f>#REF!+(#REF!/$F$132)+#REF!</f>
        <v>#REF!</v>
      </c>
      <c r="G33" s="276" t="e">
        <f>#REF!+(#REF!/$F$132)+#REF!</f>
        <v>#REF!</v>
      </c>
      <c r="H33" s="276" t="e">
        <f>#REF!+(#REF!/$F$132)+#REF!</f>
        <v>#REF!</v>
      </c>
      <c r="I33" s="276" t="e">
        <f>#REF!+(#REF!/$F$132)+#REF!</f>
        <v>#REF!</v>
      </c>
      <c r="J33" s="267"/>
    </row>
    <row r="34" spans="1:10" ht="20.25" hidden="1" customHeight="1" x14ac:dyDescent="0.3">
      <c r="A34" s="277" t="s">
        <v>242</v>
      </c>
      <c r="B34" s="276" t="e">
        <f>#REF!+(#REF!/$F$132)+#REF!</f>
        <v>#REF!</v>
      </c>
      <c r="C34" s="276" t="e">
        <f>#REF!+(#REF!/$F$132)+#REF!</f>
        <v>#REF!</v>
      </c>
      <c r="D34" s="276" t="e">
        <f>#REF!+(#REF!/$F$132)+#REF!</f>
        <v>#REF!</v>
      </c>
      <c r="E34" s="276" t="e">
        <f>#REF!+(#REF!/$F$132)+#REF!</f>
        <v>#REF!</v>
      </c>
      <c r="F34" s="276" t="e">
        <f>#REF!+(#REF!/$F$132)+#REF!</f>
        <v>#REF!</v>
      </c>
      <c r="G34" s="276" t="e">
        <f>#REF!+(#REF!/$F$132)+#REF!</f>
        <v>#REF!</v>
      </c>
      <c r="H34" s="276" t="e">
        <f>#REF!+(#REF!/$F$132)+#REF!</f>
        <v>#REF!</v>
      </c>
      <c r="I34" s="276" t="e">
        <f>#REF!+(#REF!/$F$132)+#REF!</f>
        <v>#REF!</v>
      </c>
      <c r="J34" s="267"/>
    </row>
    <row r="35" spans="1:10" ht="20.25" hidden="1" customHeight="1" x14ac:dyDescent="0.3">
      <c r="A35" s="338" t="s">
        <v>4</v>
      </c>
      <c r="B35" s="270" t="e">
        <f>SUM(B32:B34)</f>
        <v>#REF!</v>
      </c>
      <c r="C35" s="270" t="e">
        <f>SUM(C32:C34)</f>
        <v>#REF!</v>
      </c>
      <c r="D35" s="270" t="e">
        <f t="shared" ref="D35:I35" si="3">SUM(D32:D34)</f>
        <v>#REF!</v>
      </c>
      <c r="E35" s="270" t="e">
        <f t="shared" si="3"/>
        <v>#REF!</v>
      </c>
      <c r="F35" s="270" t="e">
        <f t="shared" si="3"/>
        <v>#REF!</v>
      </c>
      <c r="G35" s="270" t="e">
        <f t="shared" si="3"/>
        <v>#REF!</v>
      </c>
      <c r="H35" s="270" t="e">
        <f t="shared" si="3"/>
        <v>#REF!</v>
      </c>
      <c r="I35" s="270" t="e">
        <f t="shared" si="3"/>
        <v>#REF!</v>
      </c>
      <c r="J35" s="267"/>
    </row>
    <row r="36" spans="1:10" ht="11.25" customHeight="1" x14ac:dyDescent="0.3">
      <c r="A36" s="271"/>
      <c r="B36" s="272"/>
      <c r="C36" s="272"/>
      <c r="D36" s="272"/>
      <c r="E36" s="272"/>
      <c r="F36" s="272"/>
      <c r="G36" s="272"/>
      <c r="H36" s="272"/>
      <c r="I36" s="272"/>
      <c r="J36" s="273"/>
    </row>
    <row r="37" spans="1:10" ht="17.399999999999999" customHeight="1" x14ac:dyDescent="0.3">
      <c r="A37" s="274" t="s">
        <v>172</v>
      </c>
      <c r="B37" s="276"/>
      <c r="C37" s="276"/>
      <c r="D37" s="276"/>
      <c r="E37" s="276"/>
      <c r="F37" s="276"/>
      <c r="G37" s="276"/>
      <c r="H37" s="276"/>
      <c r="I37" s="276"/>
      <c r="J37" s="267"/>
    </row>
    <row r="38" spans="1:10" ht="20.399999999999999" customHeight="1" x14ac:dyDescent="0.3">
      <c r="A38" s="277" t="s">
        <v>203</v>
      </c>
      <c r="B38" s="276" t="e">
        <f>((((#REF!+#REF!)-($F$128*$B$128))*B$9)+(((#REF!+#REF!)-($F$128*$B$128))*B$9)*IF($F$137="2% above borrowing %",B$11+0.02,$F$137)*(1-$F$138))/$B$128</f>
        <v>#REF!</v>
      </c>
      <c r="C38" s="276" t="e">
        <f>((((#REF!+#REF!)-($F$128*$B$128))*C$9)+(((#REF!+#REF!)-($F$128*$B$128))*C$9)*IF($F$137="2% above borrowing %",C$11+0.02,$F$137)*(1-$F$138))/$B$128</f>
        <v>#REF!</v>
      </c>
      <c r="D38" s="276" t="e">
        <f>((((#REF!+#REF!)-($F$128*$B$128))*D$9)+(((#REF!+#REF!)-($F$128*$B$128))*D$9)*IF($F$137="2% above borrowing %",D$11+0.02,$F$137)*(1-$F$138))/$B$128</f>
        <v>#REF!</v>
      </c>
      <c r="E38" s="276" t="e">
        <f>((((#REF!+#REF!)-($F$128*$B$128))*E$9)+(((#REF!+#REF!)-($F$128*$B$128))*E$9)*IF($F$137="2% above borrowing %",E$11+0.02,$F$137)*(1-$F$138))/$B$128</f>
        <v>#REF!</v>
      </c>
      <c r="F38" s="276" t="e">
        <f>((((#REF!+#REF!)-($F$128*$B$128))*F$9)+(((#REF!+#REF!)-($F$128*$B$128))*F$9)*IF($F$137="2% above borrowing %",F$11+0.02,$F$137)*(1-$F$138))/$B$128</f>
        <v>#REF!</v>
      </c>
      <c r="G38" s="276" t="e">
        <f>((((#REF!+#REF!)-($F$128*$B$128))*G$9)+(((#REF!+#REF!)-($F$128*$B$128))*G$9)*IF($F$137="2% above borrowing %",G$11+0.02,$F$137)*(1-$F$138))/$B$128</f>
        <v>#REF!</v>
      </c>
      <c r="H38" s="276" t="e">
        <f>((((#REF!+#REF!)-($F$128*$B$128))*H$9)+(((#REF!+#REF!)-($F$128*$B$128))*H$9)*IF($F$137="2% above borrowing %",H$11+0.02,$F$137)*(1-$F$138))/$B$128</f>
        <v>#REF!</v>
      </c>
      <c r="I38" s="276" t="e">
        <f>((((#REF!+#REF!)-($F$128*$B$128))*I$9)+(((#REF!+#REF!)-($F$128*$B$128))*I$9)*IF($F$137="2% above borrowing %",I$11+0.02,$F$137)*(1-$F$138))/$B$128</f>
        <v>#REF!</v>
      </c>
      <c r="J38" s="267"/>
    </row>
    <row r="39" spans="1:10" ht="20.399999999999999" customHeight="1" x14ac:dyDescent="0.3">
      <c r="A39" s="277" t="s">
        <v>206</v>
      </c>
      <c r="B39" s="276" t="e">
        <f>((((#REF!+#REF!)-($F$129*$B$129))*B$9)+(((#REF!+#REF!)-($F$129*$B$129))*B$9)*IF($F$137="2% above borrowing %",B$11+0.02,$F$137)*(1-$F$138))/$B$129</f>
        <v>#REF!</v>
      </c>
      <c r="C39" s="276" t="e">
        <f>((((#REF!+#REF!)-($F$129*$B$129))*C$9)+(((#REF!+#REF!)-($F$129*$B$129))*C$9)*IF($F$137="2% above borrowing %",C$11+0.02,$F$137)*(1-$F$138))/$B$129</f>
        <v>#REF!</v>
      </c>
      <c r="D39" s="276" t="e">
        <f>((((#REF!+#REF!)-($F$129*$B$129))*D$9)+(((#REF!+#REF!)-($F$129*$B$129))*D$9)*IF($F$137="2% above borrowing %",D$11+0.02,$F$137)*(1-$F$138))/$B$129</f>
        <v>#REF!</v>
      </c>
      <c r="E39" s="276" t="e">
        <f>((((#REF!+#REF!)-($F$129*$B$129))*E$9)+(((#REF!+#REF!)-($F$129*$B$129))*E$9)*IF($F$137="2% above borrowing %",E$11+0.02,$F$137)*(1-$F$138))/$B$129</f>
        <v>#REF!</v>
      </c>
      <c r="F39" s="276" t="e">
        <f>((((#REF!+#REF!)-($F$129*$B$129))*F$9)+(((#REF!+#REF!)-($F$129*$B$129))*F$9)*IF($F$137="2% above borrowing %",F$11+0.02,$F$137)*(1-$F$138))/$B$129</f>
        <v>#REF!</v>
      </c>
      <c r="G39" s="276" t="e">
        <f>((((#REF!+#REF!)-($F$129*$B$129))*G$9)+(((#REF!+#REF!)-($F$129*$B$129))*G$9)*IF($F$137="2% above borrowing %",G$11+0.02,$F$137)*(1-$F$138))/$B$129</f>
        <v>#REF!</v>
      </c>
      <c r="H39" s="276" t="e">
        <f>((((#REF!+#REF!)-($F$129*$B$129))*H$9)+(((#REF!+#REF!)-($F$129*$B$129))*H$9)*IF($F$137="2% above borrowing %",H$11+0.02,$F$137)*(1-$F$138))/$B$129</f>
        <v>#REF!</v>
      </c>
      <c r="I39" s="276" t="e">
        <f>((((#REF!+#REF!)-($F$129*$B$129))*I$9)+(((#REF!+#REF!)-($F$129*$B$129))*I$9)*IF($F$137="2% above borrowing %",I$11+0.02,$F$137)*(1-$F$138))/$B$129</f>
        <v>#REF!</v>
      </c>
      <c r="J39" s="267"/>
    </row>
    <row r="40" spans="1:10" ht="20.399999999999999" customHeight="1" x14ac:dyDescent="0.3">
      <c r="A40" s="277" t="s">
        <v>202</v>
      </c>
      <c r="B40" s="276" t="e">
        <f>IF($F$139&lt;B$9,(((#REF!+#REF!)*$F$139)+(((#REF!+#REF!)*$F$139)*IF($F$137="2% above borrowing %",B$11+0.02,$F$137)*(1-$F$138)))/$B$130,(((#REF!+#REF!)*B$9)+(((#REF!+#REF!)*B$9)*IF($F$137="2% above borrowing %",B$11+0.02,$F$137)*(1-$F$138)))/$B$130)</f>
        <v>#REF!</v>
      </c>
      <c r="C40" s="276" t="e">
        <f>IF($F$139&lt;C$9,(((#REF!+#REF!)*$F$139)+(((#REF!+#REF!)*$F$139)*IF($F$137="2% above borrowing %",C$11+0.02,$F$137)*(1-$F$138)))/$B$130,(((#REF!+#REF!)*C$9)+(((#REF!+#REF!)*C$9)*IF($F$137="2% above borrowing %",C$11+0.02,$F$137)*(1-$F$138)))/$B$130)</f>
        <v>#REF!</v>
      </c>
      <c r="D40" s="276" t="e">
        <f>IF($F$139&lt;D$9,(((#REF!+#REF!)*$F$139)+(((#REF!+#REF!)*$F$139)*IF($F$137="2% above borrowing %",D$11+0.02,$F$137)*(1-$F$138)))/$B$130,(((#REF!+#REF!)*D$9)+(((#REF!+#REF!)*D$9)*IF($F$137="2% above borrowing %",D$11+0.02,$F$137)*(1-$F$138)))/$B$130)</f>
        <v>#REF!</v>
      </c>
      <c r="E40" s="276" t="e">
        <f>IF($F$139&lt;E$9,(((#REF!+#REF!)*$F$139)+(((#REF!+#REF!)*$F$139)*IF($F$137="2% above borrowing %",E$11+0.02,$F$137)*(1-$F$138)))/$B$130,(((#REF!+#REF!)*E$9)+(((#REF!+#REF!)*E$9)*IF($F$137="2% above borrowing %",E$11+0.02,$F$137)*(1-$F$138)))/$B$130)</f>
        <v>#REF!</v>
      </c>
      <c r="F40" s="276" t="e">
        <f>IF($F$139&lt;F$9,(((#REF!+#REF!)*$F$139)+(((#REF!+#REF!)*$F$139)*IF($F$137="2% above borrowing %",F$11+0.02,$F$137)*(1-$F$138)))/$B$130,(((#REF!+#REF!)*F$9)+(((#REF!+#REF!)*F$9)*IF($F$137="2% above borrowing %",F$11+0.02,$F$137)*(1-$F$138)))/$B$130)</f>
        <v>#REF!</v>
      </c>
      <c r="G40" s="276" t="e">
        <f>IF($F$139&lt;G$9,(((#REF!+#REF!)*$F$139)+(((#REF!+#REF!)*$F$139)*IF($F$137="2% above borrowing %",G$11+0.02,$F$137)*(1-$F$138)))/$B$130,(((#REF!+#REF!)*G$9)+(((#REF!+#REF!)*G$9)*IF($F$137="2% above borrowing %",G$11+0.02,$F$137)*(1-$F$138)))/$B$130)</f>
        <v>#REF!</v>
      </c>
      <c r="H40" s="276" t="e">
        <f>IF($F$139&lt;H$9,(((#REF!+#REF!)*$F$139)+(((#REF!+#REF!)*$F$139)*IF($F$137="2% above borrowing %",H$11+0.02,$F$137)*(1-$F$138)))/$B$130,(((#REF!+#REF!)*H$9)+(((#REF!+#REF!)*H$9)*IF($F$137="2% above borrowing %",H$11+0.02,$F$137)*(1-$F$138)))/$B$130)</f>
        <v>#REF!</v>
      </c>
      <c r="I40" s="276" t="e">
        <f>IF($F$139&lt;I$9,(((#REF!+#REF!)*$F$139)+(((#REF!+#REF!)*$F$139)*IF($F$137="2% above borrowing %",I$11+0.02,$F$137)*(1-$F$138)))/$B$130,(((#REF!+#REF!)*I$9)+(((#REF!+#REF!)*I$9)*IF($F$137="2% above borrowing %",I$11+0.02,$F$137)*(1-$F$138)))/$B$130)</f>
        <v>#REF!</v>
      </c>
      <c r="J40" s="267"/>
    </row>
    <row r="41" spans="1:10" ht="11.25" customHeight="1" x14ac:dyDescent="0.3">
      <c r="A41" s="271"/>
      <c r="B41" s="272"/>
      <c r="C41" s="272"/>
      <c r="D41" s="272"/>
      <c r="E41" s="272"/>
      <c r="F41" s="272"/>
      <c r="G41" s="272"/>
      <c r="H41" s="272"/>
      <c r="I41" s="272"/>
      <c r="J41" s="273"/>
    </row>
    <row r="42" spans="1:10" ht="15.6" x14ac:dyDescent="0.3">
      <c r="A42" s="278" t="s">
        <v>173</v>
      </c>
      <c r="B42" s="276"/>
      <c r="C42" s="276"/>
      <c r="D42" s="276"/>
      <c r="E42" s="276"/>
      <c r="F42" s="276"/>
      <c r="G42" s="276"/>
      <c r="H42" s="276"/>
      <c r="I42" s="276"/>
      <c r="J42" s="279"/>
    </row>
    <row r="43" spans="1:10" ht="20.399999999999999" customHeight="1" x14ac:dyDescent="0.3">
      <c r="A43" s="277" t="s">
        <v>204</v>
      </c>
      <c r="B43" s="276">
        <f t="shared" ref="B43:I43" si="4">$F$128</f>
        <v>0</v>
      </c>
      <c r="C43" s="276">
        <f t="shared" si="4"/>
        <v>0</v>
      </c>
      <c r="D43" s="276">
        <f t="shared" si="4"/>
        <v>0</v>
      </c>
      <c r="E43" s="276">
        <f t="shared" si="4"/>
        <v>0</v>
      </c>
      <c r="F43" s="276">
        <f t="shared" si="4"/>
        <v>0</v>
      </c>
      <c r="G43" s="276">
        <f t="shared" si="4"/>
        <v>0</v>
      </c>
      <c r="H43" s="276">
        <f t="shared" si="4"/>
        <v>0</v>
      </c>
      <c r="I43" s="276">
        <f t="shared" si="4"/>
        <v>0</v>
      </c>
      <c r="J43" s="267"/>
    </row>
    <row r="44" spans="1:10" ht="20.399999999999999" customHeight="1" x14ac:dyDescent="0.3">
      <c r="A44" s="277" t="s">
        <v>205</v>
      </c>
      <c r="B44" s="276">
        <f t="shared" ref="B44:I44" si="5">$F$129</f>
        <v>8000</v>
      </c>
      <c r="C44" s="276">
        <f t="shared" si="5"/>
        <v>8000</v>
      </c>
      <c r="D44" s="276">
        <f t="shared" si="5"/>
        <v>8000</v>
      </c>
      <c r="E44" s="276">
        <f t="shared" si="5"/>
        <v>8000</v>
      </c>
      <c r="F44" s="276">
        <f t="shared" si="5"/>
        <v>8000</v>
      </c>
      <c r="G44" s="276">
        <f t="shared" si="5"/>
        <v>8000</v>
      </c>
      <c r="H44" s="276">
        <f t="shared" si="5"/>
        <v>8000</v>
      </c>
      <c r="I44" s="276">
        <f t="shared" si="5"/>
        <v>8000</v>
      </c>
      <c r="J44" s="267"/>
    </row>
    <row r="45" spans="1:10" ht="20.399999999999999" customHeight="1" x14ac:dyDescent="0.3">
      <c r="A45" s="277" t="s">
        <v>207</v>
      </c>
      <c r="B45" s="280" t="s">
        <v>174</v>
      </c>
      <c r="C45" s="280" t="s">
        <v>174</v>
      </c>
      <c r="D45" s="280" t="s">
        <v>174</v>
      </c>
      <c r="E45" s="280" t="s">
        <v>174</v>
      </c>
      <c r="F45" s="280" t="s">
        <v>174</v>
      </c>
      <c r="G45" s="280" t="s">
        <v>174</v>
      </c>
      <c r="H45" s="280" t="s">
        <v>174</v>
      </c>
      <c r="I45" s="280" t="s">
        <v>174</v>
      </c>
      <c r="J45" s="267"/>
    </row>
    <row r="46" spans="1:10" ht="11.25" customHeight="1" x14ac:dyDescent="0.3">
      <c r="A46" s="271"/>
      <c r="B46" s="272"/>
      <c r="C46" s="272"/>
      <c r="D46" s="272"/>
      <c r="E46" s="272"/>
      <c r="F46" s="272"/>
      <c r="G46" s="272"/>
      <c r="H46" s="272"/>
      <c r="I46" s="272"/>
      <c r="J46" s="273"/>
    </row>
    <row r="47" spans="1:10" ht="15.6" x14ac:dyDescent="0.3">
      <c r="A47" s="274" t="s">
        <v>175</v>
      </c>
      <c r="B47" s="276"/>
      <c r="C47" s="276"/>
      <c r="D47" s="276"/>
      <c r="E47" s="276"/>
      <c r="F47" s="276"/>
      <c r="G47" s="276"/>
      <c r="H47" s="276"/>
      <c r="I47" s="276"/>
      <c r="J47" s="267"/>
    </row>
    <row r="48" spans="1:10" ht="20.399999999999999" customHeight="1" x14ac:dyDescent="0.3">
      <c r="A48" s="277" t="s">
        <v>204</v>
      </c>
      <c r="B48" s="276" t="e">
        <f>((#REF!+(#REF!/$F$132)+#REF!)-((B$13*B$9)+(B$13*(1-B$9)*$C$128)))/$B$128</f>
        <v>#REF!</v>
      </c>
      <c r="C48" s="276" t="e">
        <f>((#REF!+(#REF!/$F$132)+#REF!)-((C$13*C$9)+(C$13*(1-C$9)*$C$128)))/$B$128</f>
        <v>#REF!</v>
      </c>
      <c r="D48" s="276" t="e">
        <f>((#REF!+(#REF!/$F$132)+#REF!)-((D$13*D$9)+(D$13*(1-D$9)*$C$128)))/$B$128</f>
        <v>#REF!</v>
      </c>
      <c r="E48" s="276" t="e">
        <f>((#REF!+(#REF!/$F$132)+#REF!)-((E$13*E$9)+(E$13*(1-E$9)*$C$128)))/$B$128</f>
        <v>#REF!</v>
      </c>
      <c r="F48" s="276" t="e">
        <f>((#REF!+(#REF!/$F$132)+#REF!)-((F$13*F$9)+(F$13*(1-F$9)*$C$128)))/$B$128</f>
        <v>#REF!</v>
      </c>
      <c r="G48" s="276" t="e">
        <f>((#REF!+(#REF!/$F$132)+#REF!)-((G$13*G$9)+(G$13*(1-G$9)*$C$128)))/$B$128</f>
        <v>#REF!</v>
      </c>
      <c r="H48" s="276" t="e">
        <f>((#REF!+(#REF!/$F$132)+#REF!)-((H$13*H$9)+(H$13*(1-H$9)*$C$128)))/$B$128</f>
        <v>#REF!</v>
      </c>
      <c r="I48" s="276" t="e">
        <f>((#REF!+(#REF!/$F$132)+#REF!)-((I$13*I$9)+(I$13*(1-I$9)*$C$128)))/$B$128</f>
        <v>#REF!</v>
      </c>
      <c r="J48" s="267"/>
    </row>
    <row r="49" spans="1:10" ht="20.399999999999999" customHeight="1" x14ac:dyDescent="0.3">
      <c r="A49" s="277" t="s">
        <v>205</v>
      </c>
      <c r="B49" s="276" t="e">
        <f>((#REF!+(#REF!/$F$132)+#REF!)-(B$13*(1-B$9)*$C$129))/$B$129</f>
        <v>#REF!</v>
      </c>
      <c r="C49" s="276" t="e">
        <f>((#REF!+(#REF!/$F$132)+#REF!)-(C$13*(1-C$9)*$C$129))/$B$129</f>
        <v>#REF!</v>
      </c>
      <c r="D49" s="276" t="e">
        <f>((#REF!+(#REF!/$F$132)+#REF!)-(D$13*(1-D$9)*$C$129))/$B$129</f>
        <v>#REF!</v>
      </c>
      <c r="E49" s="276" t="e">
        <f>((#REF!+(#REF!/$F$132)+#REF!)-(E$13*(1-E$9)*$C$129))/$B$129</f>
        <v>#REF!</v>
      </c>
      <c r="F49" s="276" t="e">
        <f>((#REF!+(#REF!/$F$132)+#REF!)-(F$13*(1-F$9)*$C$129))/$B$129</f>
        <v>#REF!</v>
      </c>
      <c r="G49" s="276" t="e">
        <f>((#REF!+(#REF!/$F$132)+#REF!)-(G$13*(1-G$9)*$C$129))/$B$129</f>
        <v>#REF!</v>
      </c>
      <c r="H49" s="276" t="e">
        <f>((#REF!+(#REF!/$F$132)+#REF!)-(H$13*(1-H$9)*$C$129))/$B$129</f>
        <v>#REF!</v>
      </c>
      <c r="I49" s="276" t="e">
        <f>((#REF!+(#REF!/$F$132)+#REF!)-(I$13*(1-I$9)*$C$129))/$B$129</f>
        <v>#REF!</v>
      </c>
      <c r="J49" s="267"/>
    </row>
    <row r="50" spans="1:10" ht="20.399999999999999" customHeight="1" x14ac:dyDescent="0.3">
      <c r="A50" s="277" t="s">
        <v>229</v>
      </c>
      <c r="B50" s="276" t="e">
        <f>((#REF!+(#REF!/$F$132)+#REF!)-(B$13*(1-B$9)*$C$130))/$B$130</f>
        <v>#REF!</v>
      </c>
      <c r="C50" s="276" t="e">
        <f>((#REF!+(#REF!/$F$132)+#REF!)-(C$13*(1-C$9)*$C$130))/$B$130</f>
        <v>#REF!</v>
      </c>
      <c r="D50" s="276" t="e">
        <f>((#REF!+(#REF!/$F$132)+#REF!)-(D$13*(1-D$9)*$C$130))/$B$130</f>
        <v>#REF!</v>
      </c>
      <c r="E50" s="276" t="e">
        <f>((#REF!+(#REF!/$F$132)+#REF!)-(E$13*(1-E$9)*$C$130))/$B$130</f>
        <v>#REF!</v>
      </c>
      <c r="F50" s="276" t="e">
        <f>((#REF!+(#REF!/$F$132)+#REF!)-(F$13*(1-F$9)*$C$130))/$B$130</f>
        <v>#REF!</v>
      </c>
      <c r="G50" s="276" t="e">
        <f>((#REF!+(#REF!/$F$132)+#REF!)-(G$13*(1-G$9)*$C$130))/$B$130</f>
        <v>#REF!</v>
      </c>
      <c r="H50" s="276" t="e">
        <f>((#REF!+(#REF!/$F$132)+#REF!)-(H$13*(1-H$9)*$C$130))/$B$130</f>
        <v>#REF!</v>
      </c>
      <c r="I50" s="276" t="e">
        <f>((#REF!+(#REF!/$F$132)+#REF!)-(I$13*(1-I$9)*$C$130))/$B$130</f>
        <v>#REF!</v>
      </c>
      <c r="J50" s="267"/>
    </row>
    <row r="51" spans="1:10" ht="20.399999999999999" customHeight="1" x14ac:dyDescent="0.3">
      <c r="A51" s="277" t="s">
        <v>230</v>
      </c>
      <c r="B51" s="276" t="e">
        <f>#REF!</f>
        <v>#REF!</v>
      </c>
      <c r="C51" s="276" t="e">
        <f>#REF!</f>
        <v>#REF!</v>
      </c>
      <c r="D51" s="276" t="e">
        <f>#REF!</f>
        <v>#REF!</v>
      </c>
      <c r="E51" s="276" t="e">
        <f>#REF!</f>
        <v>#REF!</v>
      </c>
      <c r="F51" s="276" t="e">
        <f>#REF!</f>
        <v>#REF!</v>
      </c>
      <c r="G51" s="276" t="e">
        <f>#REF!</f>
        <v>#REF!</v>
      </c>
      <c r="H51" s="276" t="e">
        <f>#REF!</f>
        <v>#REF!</v>
      </c>
      <c r="I51" s="276" t="e">
        <f>#REF!</f>
        <v>#REF!</v>
      </c>
      <c r="J51" s="267"/>
    </row>
    <row r="52" spans="1:10" ht="11.25" customHeight="1" x14ac:dyDescent="0.3">
      <c r="A52" s="271"/>
      <c r="B52" s="272"/>
      <c r="C52" s="272"/>
      <c r="D52" s="272"/>
      <c r="E52" s="272"/>
      <c r="F52" s="272"/>
      <c r="G52" s="272"/>
      <c r="H52" s="272"/>
      <c r="I52" s="272"/>
      <c r="J52" s="273"/>
    </row>
    <row r="53" spans="1:10" ht="15.6" x14ac:dyDescent="0.3">
      <c r="A53" s="274" t="s">
        <v>258</v>
      </c>
      <c r="B53" s="276"/>
      <c r="C53" s="276"/>
      <c r="D53" s="276"/>
      <c r="E53" s="276"/>
      <c r="F53" s="276"/>
      <c r="G53" s="276"/>
      <c r="H53" s="276"/>
      <c r="I53" s="276"/>
      <c r="J53" s="267"/>
    </row>
    <row r="54" spans="1:10" ht="20.399999999999999" customHeight="1" x14ac:dyDescent="0.3">
      <c r="A54" s="277" t="s">
        <v>204</v>
      </c>
      <c r="B54" s="276" t="e">
        <f>((((#REF!+#REF!)-($F$128*$B$128))*(1-B$9))+(((#REF!+#REF!)-($F$129*$B$129))*(1-B$9))+((#REF!+#REF!)*(IF($F$139&lt;B$9,1-$F$139,1-B$9))))/$B$132/$F$132</f>
        <v>#REF!</v>
      </c>
      <c r="C54" s="276" t="e">
        <f>(((#REF!+#REF!)-($F$128*$B$128))*(1-C$9))/$B$128/$F$132</f>
        <v>#REF!</v>
      </c>
      <c r="D54" s="276" t="e">
        <f>((((#REF!+#REF!)-($F$128*$B$128))*(1-D$9))+(((#REF!+#REF!)-($F$129*$B$129))*(1-D$9))+((#REF!+#REF!)*(IF($F$139&lt;D$9,1-$F$139,1-D$9))))/$B$132/$F$132</f>
        <v>#REF!</v>
      </c>
      <c r="E54" s="276" t="e">
        <f>((((#REF!+#REF!)-($F$128*$B$128))*(1-E$9))+(((#REF!+#REF!)-($F$129*$B$129))*(1-E$9))+((#REF!+#REF!)*(IF($F$139&lt;E$9,1-$F$139,1-E$9))))/$B$132/$F$132</f>
        <v>#REF!</v>
      </c>
      <c r="F54" s="276" t="e">
        <f>((((#REF!+#REF!)-($F$128*$B$128))*(1-F$9))+(((#REF!+#REF!)-($F$129*$B$129))*(1-F$9))+((#REF!+#REF!)*(IF($F$139&lt;F$9,1-$F$139,1-F$9))))/$B$132/$F$132</f>
        <v>#REF!</v>
      </c>
      <c r="G54" s="276" t="e">
        <f>((((#REF!+#REF!)-($F$128*$B$128))*(1-G$9))+(((#REF!+#REF!)-($F$129*$B$129))*(1-G$9))+((#REF!+#REF!)*(IF($F$139&lt;G$9,1-$F$139,1-G$9))))/$B$132/$F$132</f>
        <v>#REF!</v>
      </c>
      <c r="H54" s="276" t="e">
        <f>((((#REF!+#REF!)-($F$128*$B$128))*(1-H$9))+(((#REF!+#REF!)-($F$129*$B$129))*(1-H$9))+((#REF!+#REF!)*(IF($F$139&lt;H$9,1-$F$139,1-H$9))))/$B$132/$F$132</f>
        <v>#REF!</v>
      </c>
      <c r="I54" s="276" t="e">
        <f>((((#REF!+#REF!)-($F$128*$B$128))*(1-I$9))+(((#REF!+#REF!)-($F$129*$B$129))*(1-I$9))+((#REF!+#REF!)*(IF($F$139&lt;I$9,1-$F$139,1-I$9))))/$B$132/$F$132</f>
        <v>#REF!</v>
      </c>
      <c r="J54" s="267"/>
    </row>
    <row r="55" spans="1:10" ht="20.399999999999999" customHeight="1" x14ac:dyDescent="0.3">
      <c r="A55" s="277" t="s">
        <v>205</v>
      </c>
      <c r="B55" s="276" t="e">
        <f>((((#REF!+#REF!)-($F$128*$B$128))*(1-B$9))+(((#REF!+#REF!)-($F$129*$B$129))*(1-B$9))+((#REF!+#REF!)*(IF($F$139&lt;B$9,1-$F$139,1-B$9))))/$B$132/$F$132</f>
        <v>#REF!</v>
      </c>
      <c r="C55" s="276" t="e">
        <f>(((#REF!+#REF!)-($F$129*$B$129))*(1-C$9))/$B$129/$F$132</f>
        <v>#REF!</v>
      </c>
      <c r="D55" s="276" t="e">
        <f>((((#REF!+#REF!)-($F$128*$B$128))*(1-D$9))+(((#REF!+#REF!)-($F$129*$B$129))*(1-D$9))+((#REF!+#REF!)*(IF($F$139&lt;D$9,1-$F$139,1-D$9))))/$B$132/$F$132</f>
        <v>#REF!</v>
      </c>
      <c r="E55" s="276" t="e">
        <f>((((#REF!+#REF!)-($F$128*$B$128))*(1-E$9))+(((#REF!+#REF!)-($F$129*$B$129))*(1-E$9))+((#REF!+#REF!)*(IF($F$139&lt;E$9,1-$F$139,1-E$9))))/$B$132/$F$132</f>
        <v>#REF!</v>
      </c>
      <c r="F55" s="276" t="e">
        <f>((((#REF!+#REF!)-($F$128*$B$128))*(1-F$9))+(((#REF!+#REF!)-($F$129*$B$129))*(1-F$9))+((#REF!+#REF!)*(IF($F$139&lt;F$9,1-$F$139,1-F$9))))/$B$132/$F$132</f>
        <v>#REF!</v>
      </c>
      <c r="G55" s="276" t="e">
        <f>((((#REF!+#REF!)-($F$128*$B$128))*(1-G$9))+(((#REF!+#REF!)-($F$129*$B$129))*(1-G$9))+((#REF!+#REF!)*(IF($F$139&lt;G$9,1-$F$139,1-G$9))))/$B$132/$F$132</f>
        <v>#REF!</v>
      </c>
      <c r="H55" s="276" t="e">
        <f>((((#REF!+#REF!)-($F$128*$B$128))*(1-H$9))+(((#REF!+#REF!)-($F$129*$B$129))*(1-H$9))+((#REF!+#REF!)*(IF($F$139&lt;H$9,1-$F$139,1-H$9))))/$B$132/$F$132</f>
        <v>#REF!</v>
      </c>
      <c r="I55" s="276" t="e">
        <f>((((#REF!+#REF!)-($F$128*$B$128))*(1-I$9))+(((#REF!+#REF!)-($F$129*$B$129))*(1-I$9))+((#REF!+#REF!)*(IF($F$139&lt;I$9,1-$F$139,1-I$9))))/$B$132/$F$132</f>
        <v>#REF!</v>
      </c>
      <c r="J55" s="267"/>
    </row>
    <row r="56" spans="1:10" ht="20.399999999999999" customHeight="1" x14ac:dyDescent="0.3">
      <c r="A56" s="277" t="s">
        <v>207</v>
      </c>
      <c r="B56" s="276" t="e">
        <f>((((#REF!+#REF!)-($F$128*$B$128))*(1-B$9))+(((#REF!+#REF!)-($F$129*$B$129))*(1-B$9))+((#REF!+#REF!)*(IF($F$139&lt;B$9,1-$F$139,1-B$9))))/$B$132/$F$132</f>
        <v>#REF!</v>
      </c>
      <c r="C56" s="276" t="e">
        <f>(((#REF!+#REF!)*(IF($F$139&lt;C$9,1-$F$139,1-C$9))))/$B$130/$F$132</f>
        <v>#REF!</v>
      </c>
      <c r="D56" s="276" t="e">
        <f>((((#REF!+#REF!)-($F$128*$B$128))*(1-D$9))+(((#REF!+#REF!)-($F$129*$B$129))*(1-D$9))+((#REF!+#REF!)*(IF($F$139&lt;D$9,1-$F$139,1-D$9))))/$B$132/$F$132</f>
        <v>#REF!</v>
      </c>
      <c r="E56" s="276" t="e">
        <f>((((#REF!+#REF!)-($F$128*$B$128))*(1-E$9))+(((#REF!+#REF!)-($F$129*$B$129))*(1-E$9))+((#REF!+#REF!)*(IF($F$139&lt;E$9,1-$F$139,1-E$9))))/$B$132/$F$132</f>
        <v>#REF!</v>
      </c>
      <c r="F56" s="276" t="e">
        <f>((((#REF!+#REF!)-($F$128*$B$128))*(1-F$9))+(((#REF!+#REF!)-($F$129*$B$129))*(1-F$9))+((#REF!+#REF!)*(IF($F$139&lt;F$9,1-$F$139,1-F$9))))/$B$132/$F$132</f>
        <v>#REF!</v>
      </c>
      <c r="G56" s="276" t="e">
        <f>((((#REF!+#REF!)-($F$128*$B$128))*(1-G$9))+(((#REF!+#REF!)-($F$129*$B$129))*(1-G$9))+((#REF!+#REF!)*(IF($F$139&lt;G$9,1-$F$139,1-G$9))))/$B$132/$F$132</f>
        <v>#REF!</v>
      </c>
      <c r="H56" s="276" t="e">
        <f>((((#REF!+#REF!)-($F$128*$B$128))*(1-H$9))+(((#REF!+#REF!)-($F$129*$B$129))*(1-H$9))+((#REF!+#REF!)*(IF($F$139&lt;H$9,1-$F$139,1-H$9))))/$B$132/$F$132</f>
        <v>#REF!</v>
      </c>
      <c r="I56" s="276" t="e">
        <f>((((#REF!+#REF!)-($F$128*$B$128))*(1-I$9))+(((#REF!+#REF!)-($F$129*$B$129))*(1-I$9))+((#REF!+#REF!)*(IF($F$139&lt;I$9,1-$F$139,1-I$9))))/$B$132/$F$132</f>
        <v>#REF!</v>
      </c>
      <c r="J56" s="267"/>
    </row>
    <row r="57" spans="1:10" ht="11.25" customHeight="1" x14ac:dyDescent="0.3">
      <c r="A57" s="271"/>
      <c r="B57" s="272"/>
      <c r="C57" s="272"/>
      <c r="D57" s="272"/>
      <c r="E57" s="272"/>
      <c r="F57" s="272"/>
      <c r="G57" s="272"/>
      <c r="H57" s="272"/>
      <c r="I57" s="272"/>
      <c r="J57" s="273"/>
    </row>
    <row r="58" spans="1:10" ht="20.399999999999999" customHeight="1" x14ac:dyDescent="0.3">
      <c r="A58" s="274" t="s">
        <v>176</v>
      </c>
      <c r="B58" s="276"/>
      <c r="C58" s="276"/>
      <c r="D58" s="276"/>
      <c r="E58" s="276"/>
      <c r="F58" s="276"/>
      <c r="G58" s="276"/>
      <c r="H58" s="276"/>
      <c r="I58" s="276"/>
      <c r="J58" s="267"/>
    </row>
    <row r="59" spans="1:10" ht="20.399999999999999" customHeight="1" x14ac:dyDescent="0.3">
      <c r="A59" s="277" t="s">
        <v>204</v>
      </c>
      <c r="B59" s="270" t="e">
        <f t="shared" ref="B59:I60" si="6">+B48+B54+(B38/$F$132)+(B43/$F$132)</f>
        <v>#REF!</v>
      </c>
      <c r="C59" s="270" t="e">
        <f t="shared" si="6"/>
        <v>#REF!</v>
      </c>
      <c r="D59" s="270" t="e">
        <f t="shared" si="6"/>
        <v>#REF!</v>
      </c>
      <c r="E59" s="270" t="e">
        <f t="shared" si="6"/>
        <v>#REF!</v>
      </c>
      <c r="F59" s="270" t="e">
        <f t="shared" si="6"/>
        <v>#REF!</v>
      </c>
      <c r="G59" s="270" t="e">
        <f t="shared" si="6"/>
        <v>#REF!</v>
      </c>
      <c r="H59" s="270" t="e">
        <f t="shared" si="6"/>
        <v>#REF!</v>
      </c>
      <c r="I59" s="270" t="e">
        <f t="shared" si="6"/>
        <v>#REF!</v>
      </c>
      <c r="J59" s="267"/>
    </row>
    <row r="60" spans="1:10" ht="20.399999999999999" customHeight="1" x14ac:dyDescent="0.3">
      <c r="A60" s="277" t="s">
        <v>205</v>
      </c>
      <c r="B60" s="270" t="e">
        <f t="shared" si="6"/>
        <v>#REF!</v>
      </c>
      <c r="C60" s="270" t="e">
        <f t="shared" si="6"/>
        <v>#REF!</v>
      </c>
      <c r="D60" s="270" t="e">
        <f t="shared" si="6"/>
        <v>#REF!</v>
      </c>
      <c r="E60" s="270" t="e">
        <f t="shared" si="6"/>
        <v>#REF!</v>
      </c>
      <c r="F60" s="270" t="e">
        <f t="shared" si="6"/>
        <v>#REF!</v>
      </c>
      <c r="G60" s="270" t="e">
        <f t="shared" si="6"/>
        <v>#REF!</v>
      </c>
      <c r="H60" s="270" t="e">
        <f t="shared" si="6"/>
        <v>#REF!</v>
      </c>
      <c r="I60" s="270" t="e">
        <f t="shared" si="6"/>
        <v>#REF!</v>
      </c>
      <c r="J60" s="267"/>
    </row>
    <row r="61" spans="1:10" ht="20.399999999999999" customHeight="1" x14ac:dyDescent="0.3">
      <c r="A61" s="277" t="s">
        <v>207</v>
      </c>
      <c r="B61" s="270" t="e">
        <f t="shared" ref="B61:I61" si="7">+B50+B51+B56+(B40/$F$132)</f>
        <v>#REF!</v>
      </c>
      <c r="C61" s="270" t="e">
        <f t="shared" si="7"/>
        <v>#REF!</v>
      </c>
      <c r="D61" s="270" t="e">
        <f t="shared" si="7"/>
        <v>#REF!</v>
      </c>
      <c r="E61" s="270" t="e">
        <f t="shared" si="7"/>
        <v>#REF!</v>
      </c>
      <c r="F61" s="270" t="e">
        <f t="shared" si="7"/>
        <v>#REF!</v>
      </c>
      <c r="G61" s="270" t="e">
        <f t="shared" si="7"/>
        <v>#REF!</v>
      </c>
      <c r="H61" s="270" t="e">
        <f t="shared" si="7"/>
        <v>#REF!</v>
      </c>
      <c r="I61" s="270" t="e">
        <f t="shared" si="7"/>
        <v>#REF!</v>
      </c>
      <c r="J61" s="267"/>
    </row>
    <row r="62" spans="1:10" ht="15.6" hidden="1" x14ac:dyDescent="0.3">
      <c r="A62" s="267"/>
      <c r="B62" s="270"/>
      <c r="C62" s="270"/>
      <c r="D62" s="270"/>
      <c r="E62" s="270"/>
      <c r="F62" s="270"/>
      <c r="G62" s="270"/>
      <c r="H62" s="270"/>
      <c r="I62" s="275"/>
      <c r="J62" s="267"/>
    </row>
    <row r="63" spans="1:10" ht="15.6" hidden="1" x14ac:dyDescent="0.3">
      <c r="A63" s="274" t="s">
        <v>177</v>
      </c>
      <c r="B63" s="270">
        <f>+'[4]Case 1'!E99</f>
        <v>1763.7462903555024</v>
      </c>
      <c r="C63" s="270" t="str">
        <f>+'[4]Case 1'!F99</f>
        <v>Per Customer = Systemwide Average</v>
      </c>
      <c r="D63" s="270">
        <f>+'[4]Case 2'!E99</f>
        <v>1763.7462903555024</v>
      </c>
      <c r="E63" s="270">
        <f>+'[4]Case 3'!E99</f>
        <v>1554.6097550603845</v>
      </c>
      <c r="F63" s="270">
        <f>+'[4]Case 4'!E99</f>
        <v>1222.6470006236887</v>
      </c>
      <c r="G63" s="270">
        <f>+'[4]Case 5'!E99</f>
        <v>1222.6470006236887</v>
      </c>
      <c r="H63" s="270">
        <f>+'[4]Case 6'!E99</f>
        <v>1222.6470006236887</v>
      </c>
      <c r="I63" s="275">
        <f>+'[4]Case 7'!E99</f>
        <v>1763.7462903555024</v>
      </c>
      <c r="J63" s="267"/>
    </row>
    <row r="64" spans="1:10" ht="11.25" customHeight="1" x14ac:dyDescent="0.3">
      <c r="A64" s="271"/>
      <c r="B64" s="272"/>
      <c r="C64" s="272"/>
      <c r="D64" s="272"/>
      <c r="E64" s="272"/>
      <c r="F64" s="272"/>
      <c r="G64" s="272"/>
      <c r="H64" s="272"/>
      <c r="I64" s="272"/>
      <c r="J64" s="273"/>
    </row>
    <row r="65" spans="1:10" s="283" customFormat="1" ht="38.25" customHeight="1" x14ac:dyDescent="0.25">
      <c r="A65" s="281" t="s">
        <v>178</v>
      </c>
      <c r="B65" s="282" t="e">
        <f>B68</f>
        <v>#REF!</v>
      </c>
      <c r="C65" s="282" t="e">
        <f>C68</f>
        <v>#REF!</v>
      </c>
      <c r="D65" s="282" t="e">
        <f t="shared" ref="D65:I65" si="8">D68</f>
        <v>#REF!</v>
      </c>
      <c r="E65" s="282" t="e">
        <f t="shared" si="8"/>
        <v>#REF!</v>
      </c>
      <c r="F65" s="282" t="e">
        <f t="shared" si="8"/>
        <v>#REF!</v>
      </c>
      <c r="G65" s="282" t="e">
        <f t="shared" si="8"/>
        <v>#REF!</v>
      </c>
      <c r="H65" s="282" t="e">
        <f t="shared" si="8"/>
        <v>#REF!</v>
      </c>
      <c r="I65" s="282" t="e">
        <f t="shared" si="8"/>
        <v>#REF!</v>
      </c>
      <c r="J65" s="282">
        <v>2550</v>
      </c>
    </row>
    <row r="66" spans="1:10" s="283" customFormat="1" ht="38.25" customHeight="1" x14ac:dyDescent="0.25">
      <c r="A66" s="284" t="s">
        <v>260</v>
      </c>
      <c r="B66" s="285" t="s">
        <v>174</v>
      </c>
      <c r="C66" s="286" t="e">
        <f>-($B$65-C65)/$B$65</f>
        <v>#REF!</v>
      </c>
      <c r="D66" s="286" t="e">
        <f>-($B$65-D65)/$B$65</f>
        <v>#REF!</v>
      </c>
      <c r="E66" s="286" t="e">
        <f t="shared" ref="E66:J66" si="9">-($B$65-E65)/$B$65</f>
        <v>#REF!</v>
      </c>
      <c r="F66" s="286" t="e">
        <f t="shared" si="9"/>
        <v>#REF!</v>
      </c>
      <c r="G66" s="286" t="e">
        <f t="shared" si="9"/>
        <v>#REF!</v>
      </c>
      <c r="H66" s="286" t="e">
        <f t="shared" si="9"/>
        <v>#REF!</v>
      </c>
      <c r="I66" s="286" t="e">
        <f t="shared" si="9"/>
        <v>#REF!</v>
      </c>
      <c r="J66" s="286" t="e">
        <f t="shared" si="9"/>
        <v>#REF!</v>
      </c>
    </row>
    <row r="67" spans="1:10" s="283" customFormat="1" ht="15.6" x14ac:dyDescent="0.25">
      <c r="A67" s="260"/>
      <c r="B67" s="260"/>
      <c r="C67" s="260"/>
      <c r="D67" s="260"/>
      <c r="E67" s="260"/>
      <c r="F67" s="260"/>
      <c r="G67" s="260"/>
      <c r="H67" s="260"/>
      <c r="I67" s="260"/>
      <c r="J67" s="327"/>
    </row>
    <row r="68" spans="1:10" s="283" customFormat="1" ht="15.6" hidden="1" x14ac:dyDescent="0.3">
      <c r="A68" s="288" t="s">
        <v>231</v>
      </c>
      <c r="B68" s="328" t="e">
        <f t="shared" ref="B68:I68" si="10">IF(B60=0,((B59*$B128)+(B61*($B129+$B130)))/$B132,((B59*$B128)+(B60*$B129)+(B61*$B130))/$B132)</f>
        <v>#REF!</v>
      </c>
      <c r="C68" s="328" t="e">
        <f t="shared" si="10"/>
        <v>#REF!</v>
      </c>
      <c r="D68" s="328" t="e">
        <f t="shared" si="10"/>
        <v>#REF!</v>
      </c>
      <c r="E68" s="328" t="e">
        <f t="shared" si="10"/>
        <v>#REF!</v>
      </c>
      <c r="F68" s="328" t="e">
        <f t="shared" si="10"/>
        <v>#REF!</v>
      </c>
      <c r="G68" s="328" t="e">
        <f t="shared" si="10"/>
        <v>#REF!</v>
      </c>
      <c r="H68" s="328" t="e">
        <f t="shared" si="10"/>
        <v>#REF!</v>
      </c>
      <c r="I68" s="328" t="e">
        <f t="shared" si="10"/>
        <v>#REF!</v>
      </c>
      <c r="J68" s="327"/>
    </row>
    <row r="69" spans="1:10" s="283" customFormat="1" ht="15.6" hidden="1" x14ac:dyDescent="0.3">
      <c r="A69" s="288"/>
      <c r="B69" s="288"/>
      <c r="C69" s="288"/>
      <c r="D69" s="288"/>
      <c r="E69" s="288"/>
      <c r="F69" s="288"/>
      <c r="G69" s="288"/>
      <c r="H69" s="288"/>
      <c r="I69" s="288"/>
      <c r="J69" s="327"/>
    </row>
    <row r="70" spans="1:10" s="283" customFormat="1" ht="15.6" hidden="1" x14ac:dyDescent="0.3">
      <c r="A70" s="339" t="s">
        <v>246</v>
      </c>
      <c r="B70" s="340" t="e">
        <f t="shared" ref="B70:I71" si="11">(B43*$B128)+(B38*$B128)+(((B54*$B128))*20)</f>
        <v>#REF!</v>
      </c>
      <c r="C70" s="340" t="e">
        <f t="shared" si="11"/>
        <v>#REF!</v>
      </c>
      <c r="D70" s="340" t="e">
        <f t="shared" si="11"/>
        <v>#REF!</v>
      </c>
      <c r="E70" s="340" t="e">
        <f t="shared" si="11"/>
        <v>#REF!</v>
      </c>
      <c r="F70" s="340" t="e">
        <f t="shared" si="11"/>
        <v>#REF!</v>
      </c>
      <c r="G70" s="340" t="e">
        <f t="shared" si="11"/>
        <v>#REF!</v>
      </c>
      <c r="H70" s="340" t="e">
        <f t="shared" si="11"/>
        <v>#REF!</v>
      </c>
      <c r="I70" s="305" t="e">
        <f t="shared" si="11"/>
        <v>#REF!</v>
      </c>
      <c r="J70" s="327"/>
    </row>
    <row r="71" spans="1:10" s="283" customFormat="1" ht="15.6" hidden="1" x14ac:dyDescent="0.3">
      <c r="A71" s="341" t="s">
        <v>247</v>
      </c>
      <c r="B71" s="342" t="e">
        <f t="shared" si="11"/>
        <v>#REF!</v>
      </c>
      <c r="C71" s="342" t="e">
        <f t="shared" si="11"/>
        <v>#REF!</v>
      </c>
      <c r="D71" s="342" t="e">
        <f t="shared" si="11"/>
        <v>#REF!</v>
      </c>
      <c r="E71" s="342" t="e">
        <f t="shared" si="11"/>
        <v>#REF!</v>
      </c>
      <c r="F71" s="342" t="e">
        <f t="shared" si="11"/>
        <v>#REF!</v>
      </c>
      <c r="G71" s="342" t="e">
        <f t="shared" si="11"/>
        <v>#REF!</v>
      </c>
      <c r="H71" s="342" t="e">
        <f t="shared" si="11"/>
        <v>#REF!</v>
      </c>
      <c r="I71" s="343" t="e">
        <f t="shared" si="11"/>
        <v>#REF!</v>
      </c>
      <c r="J71" s="327"/>
    </row>
    <row r="72" spans="1:10" s="283" customFormat="1" ht="15.6" hidden="1" x14ac:dyDescent="0.3">
      <c r="A72" s="341" t="s">
        <v>248</v>
      </c>
      <c r="B72" s="342" t="e">
        <f t="shared" ref="B72" si="12">(B40*$B130)+(((B56*$B130))*20)</f>
        <v>#REF!</v>
      </c>
      <c r="C72" s="342" t="e">
        <f>(C40*($B129+$B130))+(((C56*($B129+$B130)))*20)</f>
        <v>#REF!</v>
      </c>
      <c r="D72" s="342" t="e">
        <f t="shared" ref="D72:I72" si="13">(D40*($B129+$B130))+(((D56*($B129+$B130)))*20)</f>
        <v>#REF!</v>
      </c>
      <c r="E72" s="342" t="e">
        <f t="shared" si="13"/>
        <v>#REF!</v>
      </c>
      <c r="F72" s="342" t="e">
        <f t="shared" si="13"/>
        <v>#REF!</v>
      </c>
      <c r="G72" s="342" t="e">
        <f t="shared" si="13"/>
        <v>#REF!</v>
      </c>
      <c r="H72" s="342" t="e">
        <f t="shared" si="13"/>
        <v>#REF!</v>
      </c>
      <c r="I72" s="343" t="e">
        <f t="shared" si="13"/>
        <v>#REF!</v>
      </c>
      <c r="J72" s="327"/>
    </row>
    <row r="73" spans="1:10" s="283" customFormat="1" ht="15.6" hidden="1" x14ac:dyDescent="0.3">
      <c r="A73" s="341" t="s">
        <v>249</v>
      </c>
      <c r="B73" s="342" t="e">
        <f>(((B48*$B128)+(B49*$B129)+(B50*$B130))*$F$132)+(B13*20)</f>
        <v>#REF!</v>
      </c>
      <c r="C73" s="342" t="e">
        <f>(((C48*$B128)+(C50*($B129+$B130)))*$F$132)+(C13*20)</f>
        <v>#REF!</v>
      </c>
      <c r="D73" s="342" t="e">
        <f t="shared" ref="D73:I73" si="14">(((D48*$B128)+(D50*($B129+$B130)))*$F$132)+(D13*20)</f>
        <v>#REF!</v>
      </c>
      <c r="E73" s="342" t="e">
        <f t="shared" si="14"/>
        <v>#REF!</v>
      </c>
      <c r="F73" s="342" t="e">
        <f t="shared" si="14"/>
        <v>#REF!</v>
      </c>
      <c r="G73" s="342" t="e">
        <f t="shared" si="14"/>
        <v>#REF!</v>
      </c>
      <c r="H73" s="342" t="e">
        <f t="shared" si="14"/>
        <v>#REF!</v>
      </c>
      <c r="I73" s="343" t="e">
        <f t="shared" si="14"/>
        <v>#REF!</v>
      </c>
      <c r="J73" s="327"/>
    </row>
    <row r="74" spans="1:10" s="283" customFormat="1" ht="15.6" hidden="1" x14ac:dyDescent="0.3">
      <c r="A74" s="341" t="s">
        <v>250</v>
      </c>
      <c r="B74" s="342"/>
      <c r="C74" s="342"/>
      <c r="D74" s="342"/>
      <c r="E74" s="342"/>
      <c r="F74" s="342"/>
      <c r="G74" s="342"/>
      <c r="H74" s="342"/>
      <c r="I74" s="343"/>
      <c r="J74" s="327"/>
    </row>
    <row r="75" spans="1:10" s="283" customFormat="1" ht="15.6" hidden="1" x14ac:dyDescent="0.3">
      <c r="A75" s="344" t="s">
        <v>251</v>
      </c>
      <c r="B75" s="345"/>
      <c r="C75" s="345"/>
      <c r="D75" s="345"/>
      <c r="E75" s="345"/>
      <c r="F75" s="345"/>
      <c r="G75" s="345"/>
      <c r="H75" s="345"/>
      <c r="I75" s="306"/>
      <c r="J75" s="327"/>
    </row>
    <row r="76" spans="1:10" s="283" customFormat="1" ht="15.6" hidden="1" x14ac:dyDescent="0.3">
      <c r="A76" s="346" t="s">
        <v>4</v>
      </c>
      <c r="B76" s="347" t="e">
        <f>SUM(B70:B75)</f>
        <v>#REF!</v>
      </c>
      <c r="C76" s="347" t="e">
        <f>SUM(C70:C75)</f>
        <v>#REF!</v>
      </c>
      <c r="D76" s="347" t="e">
        <f t="shared" ref="D76:I76" si="15">SUM(D70:D75)</f>
        <v>#REF!</v>
      </c>
      <c r="E76" s="347" t="e">
        <f t="shared" si="15"/>
        <v>#REF!</v>
      </c>
      <c r="F76" s="347" t="e">
        <f t="shared" si="15"/>
        <v>#REF!</v>
      </c>
      <c r="G76" s="347" t="e">
        <f t="shared" si="15"/>
        <v>#REF!</v>
      </c>
      <c r="H76" s="347" t="e">
        <f t="shared" si="15"/>
        <v>#REF!</v>
      </c>
      <c r="I76" s="314" t="e">
        <f t="shared" si="15"/>
        <v>#REF!</v>
      </c>
      <c r="J76" s="327"/>
    </row>
    <row r="77" spans="1:10" s="283" customFormat="1" ht="15.6" hidden="1" x14ac:dyDescent="0.3">
      <c r="A77" s="288"/>
      <c r="B77" s="328" t="e">
        <f>(B23+B29+(B35*20))-B76</f>
        <v>#REF!</v>
      </c>
      <c r="C77" s="328" t="e">
        <f t="shared" ref="C77:I77" si="16">(C23+C29+(C35*20))-C76</f>
        <v>#REF!</v>
      </c>
      <c r="D77" s="328" t="e">
        <f t="shared" si="16"/>
        <v>#REF!</v>
      </c>
      <c r="E77" s="328" t="e">
        <f t="shared" si="16"/>
        <v>#REF!</v>
      </c>
      <c r="F77" s="328" t="e">
        <f t="shared" si="16"/>
        <v>#REF!</v>
      </c>
      <c r="G77" s="328" t="e">
        <f t="shared" si="16"/>
        <v>#REF!</v>
      </c>
      <c r="H77" s="328" t="e">
        <f t="shared" si="16"/>
        <v>#REF!</v>
      </c>
      <c r="I77" s="328" t="e">
        <f t="shared" si="16"/>
        <v>#REF!</v>
      </c>
      <c r="J77" s="327"/>
    </row>
    <row r="78" spans="1:10" s="283" customFormat="1" ht="15.6" hidden="1" x14ac:dyDescent="0.3">
      <c r="A78" s="288" t="s">
        <v>254</v>
      </c>
      <c r="B78" s="288"/>
      <c r="C78" s="288"/>
      <c r="D78" s="288"/>
      <c r="E78" s="288"/>
      <c r="F78" s="288"/>
      <c r="G78" s="288"/>
      <c r="H78" s="288"/>
      <c r="I78" s="288"/>
      <c r="J78" s="327"/>
    </row>
    <row r="79" spans="1:10" s="283" customFormat="1" ht="15.6" hidden="1" x14ac:dyDescent="0.3">
      <c r="A79" s="339" t="s">
        <v>252</v>
      </c>
      <c r="B79" s="340" t="e">
        <f>(B38*$B128)+(B39*$B129)+(B40*$B130)</f>
        <v>#REF!</v>
      </c>
      <c r="C79" s="340" t="e">
        <f>(C38*$B128)+(C40*($B129+$B130))</f>
        <v>#REF!</v>
      </c>
      <c r="D79" s="340" t="e">
        <f>(D38*$B128)+(D40*($B129+$B130))</f>
        <v>#REF!</v>
      </c>
      <c r="E79" s="340" t="e">
        <f t="shared" ref="E79:I79" si="17">(E38*$B128)+(E40*($B129+$B130))</f>
        <v>#REF!</v>
      </c>
      <c r="F79" s="340" t="e">
        <f t="shared" si="17"/>
        <v>#REF!</v>
      </c>
      <c r="G79" s="340" t="e">
        <f t="shared" si="17"/>
        <v>#REF!</v>
      </c>
      <c r="H79" s="340" t="e">
        <f t="shared" si="17"/>
        <v>#REF!</v>
      </c>
      <c r="I79" s="305" t="e">
        <f t="shared" si="17"/>
        <v>#REF!</v>
      </c>
      <c r="J79" s="327"/>
    </row>
    <row r="80" spans="1:10" s="283" customFormat="1" ht="15.6" hidden="1" x14ac:dyDescent="0.3">
      <c r="A80" s="341" t="s">
        <v>188</v>
      </c>
      <c r="B80" s="342">
        <f>(B43*$B128)+(B44*$B129)</f>
        <v>2664000</v>
      </c>
      <c r="C80" s="342">
        <f>(C43*$B128)+(C44*$B129)</f>
        <v>2664000</v>
      </c>
      <c r="D80" s="342">
        <f t="shared" ref="D80:I80" si="18">(D43*$B128)+(D44*$B129)</f>
        <v>2664000</v>
      </c>
      <c r="E80" s="342">
        <f t="shared" si="18"/>
        <v>2664000</v>
      </c>
      <c r="F80" s="342">
        <f t="shared" si="18"/>
        <v>2664000</v>
      </c>
      <c r="G80" s="342">
        <f t="shared" si="18"/>
        <v>2664000</v>
      </c>
      <c r="H80" s="342">
        <f t="shared" si="18"/>
        <v>2664000</v>
      </c>
      <c r="I80" s="343">
        <f t="shared" si="18"/>
        <v>2664000</v>
      </c>
      <c r="J80" s="327"/>
    </row>
    <row r="81" spans="1:10" s="283" customFormat="1" ht="15.6" hidden="1" x14ac:dyDescent="0.3">
      <c r="A81" s="341" t="s">
        <v>253</v>
      </c>
      <c r="B81" s="342" t="e">
        <f>((B48*$B128)+(B49*$B129)+(B50*$B130))*20</f>
        <v>#REF!</v>
      </c>
      <c r="C81" s="342" t="e">
        <f>((C48*$B128)+(C50*($B129+$B130)))*20</f>
        <v>#REF!</v>
      </c>
      <c r="D81" s="342" t="e">
        <f t="shared" ref="D81:I81" si="19">((D48*$B128)+(D50*($B129+$B130)))*20</f>
        <v>#REF!</v>
      </c>
      <c r="E81" s="342" t="e">
        <f t="shared" si="19"/>
        <v>#REF!</v>
      </c>
      <c r="F81" s="342" t="e">
        <f t="shared" si="19"/>
        <v>#REF!</v>
      </c>
      <c r="G81" s="342" t="e">
        <f t="shared" si="19"/>
        <v>#REF!</v>
      </c>
      <c r="H81" s="342" t="e">
        <f t="shared" si="19"/>
        <v>#REF!</v>
      </c>
      <c r="I81" s="343" t="e">
        <f t="shared" si="19"/>
        <v>#REF!</v>
      </c>
      <c r="J81" s="327"/>
    </row>
    <row r="82" spans="1:10" s="283" customFormat="1" ht="15.6" hidden="1" x14ac:dyDescent="0.3">
      <c r="A82" s="341" t="s">
        <v>259</v>
      </c>
      <c r="B82" s="342" t="e">
        <f>((B54*$B128)+(B55*$B129)+(B56*$B130))*20</f>
        <v>#REF!</v>
      </c>
      <c r="C82" s="342" t="e">
        <f>((C54*$B128)+(C56*($B129+$B130)))*20</f>
        <v>#REF!</v>
      </c>
      <c r="D82" s="342" t="e">
        <f t="shared" ref="D82:I82" si="20">((D54*$B128)+(D56*($B129+$B130)))*20</f>
        <v>#REF!</v>
      </c>
      <c r="E82" s="342" t="e">
        <f t="shared" si="20"/>
        <v>#REF!</v>
      </c>
      <c r="F82" s="342" t="e">
        <f t="shared" si="20"/>
        <v>#REF!</v>
      </c>
      <c r="G82" s="342" t="e">
        <f t="shared" si="20"/>
        <v>#REF!</v>
      </c>
      <c r="H82" s="342" t="e">
        <f t="shared" si="20"/>
        <v>#REF!</v>
      </c>
      <c r="I82" s="343" t="e">
        <f t="shared" si="20"/>
        <v>#REF!</v>
      </c>
      <c r="J82" s="327"/>
    </row>
    <row r="83" spans="1:10" s="283" customFormat="1" ht="15.6" hidden="1" x14ac:dyDescent="0.3">
      <c r="A83" s="341" t="s">
        <v>187</v>
      </c>
      <c r="B83" s="342">
        <f>B13</f>
        <v>0</v>
      </c>
      <c r="C83" s="342">
        <f>C13</f>
        <v>0</v>
      </c>
      <c r="D83" s="342">
        <f t="shared" ref="D83:G83" si="21">D13</f>
        <v>0</v>
      </c>
      <c r="E83" s="342">
        <f t="shared" si="21"/>
        <v>0</v>
      </c>
      <c r="F83" s="342">
        <f t="shared" si="21"/>
        <v>0</v>
      </c>
      <c r="G83" s="342">
        <f t="shared" si="21"/>
        <v>0</v>
      </c>
      <c r="H83" s="342">
        <f>H13*20</f>
        <v>17666000</v>
      </c>
      <c r="I83" s="342">
        <f>I13*20</f>
        <v>17666000</v>
      </c>
      <c r="J83" s="327"/>
    </row>
    <row r="84" spans="1:10" s="283" customFormat="1" ht="15.6" hidden="1" x14ac:dyDescent="0.3">
      <c r="A84" s="344" t="s">
        <v>5</v>
      </c>
      <c r="B84" s="345"/>
      <c r="C84" s="345"/>
      <c r="D84" s="345"/>
      <c r="E84" s="345"/>
      <c r="F84" s="345"/>
      <c r="G84" s="345"/>
      <c r="H84" s="345"/>
      <c r="I84" s="306"/>
      <c r="J84" s="327"/>
    </row>
    <row r="85" spans="1:10" s="283" customFormat="1" ht="15.6" hidden="1" x14ac:dyDescent="0.3">
      <c r="A85" s="346" t="s">
        <v>4</v>
      </c>
      <c r="B85" s="347" t="e">
        <f>SUM(B79:B84)</f>
        <v>#REF!</v>
      </c>
      <c r="C85" s="347" t="e">
        <f>SUM(C79:C84)</f>
        <v>#REF!</v>
      </c>
      <c r="D85" s="347" t="e">
        <f t="shared" ref="D85:I85" si="22">SUM(D79:D84)</f>
        <v>#REF!</v>
      </c>
      <c r="E85" s="347" t="e">
        <f t="shared" si="22"/>
        <v>#REF!</v>
      </c>
      <c r="F85" s="347" t="e">
        <f t="shared" si="22"/>
        <v>#REF!</v>
      </c>
      <c r="G85" s="347" t="e">
        <f t="shared" si="22"/>
        <v>#REF!</v>
      </c>
      <c r="H85" s="347" t="e">
        <f t="shared" si="22"/>
        <v>#REF!</v>
      </c>
      <c r="I85" s="314" t="e">
        <f t="shared" si="22"/>
        <v>#REF!</v>
      </c>
      <c r="J85" s="327"/>
    </row>
    <row r="86" spans="1:10" s="283" customFormat="1" ht="15.6" hidden="1" x14ac:dyDescent="0.3">
      <c r="A86" s="288"/>
      <c r="B86" s="328" t="e">
        <f>(B23+B29+(B35*20))-B85</f>
        <v>#REF!</v>
      </c>
      <c r="C86" s="328" t="e">
        <f t="shared" ref="C86:I86" si="23">(C23+C29+(C35*20))-C85</f>
        <v>#REF!</v>
      </c>
      <c r="D86" s="328" t="e">
        <f t="shared" si="23"/>
        <v>#REF!</v>
      </c>
      <c r="E86" s="328" t="e">
        <f t="shared" si="23"/>
        <v>#REF!</v>
      </c>
      <c r="F86" s="328" t="e">
        <f t="shared" si="23"/>
        <v>#REF!</v>
      </c>
      <c r="G86" s="328" t="e">
        <f t="shared" si="23"/>
        <v>#REF!</v>
      </c>
      <c r="H86" s="328" t="e">
        <f t="shared" si="23"/>
        <v>#REF!</v>
      </c>
      <c r="I86" s="328" t="e">
        <f t="shared" si="23"/>
        <v>#REF!</v>
      </c>
      <c r="J86" s="327"/>
    </row>
    <row r="87" spans="1:10" s="283" customFormat="1" ht="15.6" hidden="1" x14ac:dyDescent="0.3">
      <c r="A87" s="288" t="s">
        <v>255</v>
      </c>
      <c r="B87" s="288"/>
      <c r="C87" s="288"/>
      <c r="D87" s="288"/>
      <c r="E87" s="288"/>
      <c r="F87" s="288"/>
      <c r="G87" s="288"/>
      <c r="H87" s="288"/>
      <c r="I87" s="288"/>
      <c r="J87" s="327"/>
    </row>
    <row r="88" spans="1:10" s="283" customFormat="1" ht="15.6" hidden="1" x14ac:dyDescent="0.3">
      <c r="A88" s="339" t="s">
        <v>252</v>
      </c>
      <c r="B88" s="340" t="e">
        <f>(B38*$B$128)</f>
        <v>#REF!</v>
      </c>
      <c r="C88" s="340" t="e">
        <f>(C38*$B$128)</f>
        <v>#REF!</v>
      </c>
      <c r="D88" s="340" t="e">
        <f t="shared" ref="D88:I88" si="24">(D38*$B$128)</f>
        <v>#REF!</v>
      </c>
      <c r="E88" s="340" t="e">
        <f t="shared" si="24"/>
        <v>#REF!</v>
      </c>
      <c r="F88" s="340" t="e">
        <f t="shared" si="24"/>
        <v>#REF!</v>
      </c>
      <c r="G88" s="340" t="e">
        <f t="shared" si="24"/>
        <v>#REF!</v>
      </c>
      <c r="H88" s="340" t="e">
        <f t="shared" si="24"/>
        <v>#REF!</v>
      </c>
      <c r="I88" s="305" t="e">
        <f t="shared" si="24"/>
        <v>#REF!</v>
      </c>
      <c r="J88" s="327"/>
    </row>
    <row r="89" spans="1:10" s="283" customFormat="1" ht="15.6" hidden="1" x14ac:dyDescent="0.3">
      <c r="A89" s="341" t="s">
        <v>188</v>
      </c>
      <c r="B89" s="342">
        <f>(B43*$B$128)</f>
        <v>0</v>
      </c>
      <c r="C89" s="342">
        <f>(C43*$B$128)</f>
        <v>0</v>
      </c>
      <c r="D89" s="342">
        <f t="shared" ref="D89:I89" si="25">(D43*$B$128)</f>
        <v>0</v>
      </c>
      <c r="E89" s="342">
        <f t="shared" si="25"/>
        <v>0</v>
      </c>
      <c r="F89" s="342">
        <f t="shared" si="25"/>
        <v>0</v>
      </c>
      <c r="G89" s="342">
        <f t="shared" si="25"/>
        <v>0</v>
      </c>
      <c r="H89" s="342">
        <f t="shared" si="25"/>
        <v>0</v>
      </c>
      <c r="I89" s="343">
        <f t="shared" si="25"/>
        <v>0</v>
      </c>
      <c r="J89" s="327"/>
    </row>
    <row r="90" spans="1:10" s="283" customFormat="1" ht="15.6" hidden="1" x14ac:dyDescent="0.3">
      <c r="A90" s="341" t="s">
        <v>253</v>
      </c>
      <c r="B90" s="342" t="e">
        <f>(B48*$B$128)*20</f>
        <v>#REF!</v>
      </c>
      <c r="C90" s="342" t="e">
        <f>(C48*$B$128)*20</f>
        <v>#REF!</v>
      </c>
      <c r="D90" s="342" t="e">
        <f t="shared" ref="D90:I90" si="26">(D48*$B$128)*20</f>
        <v>#REF!</v>
      </c>
      <c r="E90" s="342" t="e">
        <f t="shared" si="26"/>
        <v>#REF!</v>
      </c>
      <c r="F90" s="342" t="e">
        <f t="shared" si="26"/>
        <v>#REF!</v>
      </c>
      <c r="G90" s="342" t="e">
        <f t="shared" si="26"/>
        <v>#REF!</v>
      </c>
      <c r="H90" s="342" t="e">
        <f t="shared" si="26"/>
        <v>#REF!</v>
      </c>
      <c r="I90" s="343" t="e">
        <f t="shared" si="26"/>
        <v>#REF!</v>
      </c>
      <c r="J90" s="327"/>
    </row>
    <row r="91" spans="1:10" s="283" customFormat="1" ht="15.6" hidden="1" x14ac:dyDescent="0.3">
      <c r="A91" s="341" t="s">
        <v>259</v>
      </c>
      <c r="B91" s="342" t="e">
        <f>(B54*$B$128)*20</f>
        <v>#REF!</v>
      </c>
      <c r="C91" s="342" t="e">
        <f>(C54*$B$128)*20</f>
        <v>#REF!</v>
      </c>
      <c r="D91" s="342" t="e">
        <f t="shared" ref="D91:I91" si="27">(D54*$B$128)*20</f>
        <v>#REF!</v>
      </c>
      <c r="E91" s="342" t="e">
        <f t="shared" si="27"/>
        <v>#REF!</v>
      </c>
      <c r="F91" s="342" t="e">
        <f t="shared" si="27"/>
        <v>#REF!</v>
      </c>
      <c r="G91" s="342" t="e">
        <f t="shared" si="27"/>
        <v>#REF!</v>
      </c>
      <c r="H91" s="342" t="e">
        <f t="shared" si="27"/>
        <v>#REF!</v>
      </c>
      <c r="I91" s="343" t="e">
        <f t="shared" si="27"/>
        <v>#REF!</v>
      </c>
      <c r="J91" s="327"/>
    </row>
    <row r="92" spans="1:10" s="283" customFormat="1" ht="15.6" hidden="1" x14ac:dyDescent="0.3">
      <c r="A92" s="341" t="s">
        <v>187</v>
      </c>
      <c r="B92" s="342">
        <f t="shared" ref="B92:G92" si="28">(B$13*20)/3</f>
        <v>0</v>
      </c>
      <c r="C92" s="342">
        <f t="shared" si="28"/>
        <v>0</v>
      </c>
      <c r="D92" s="342">
        <f t="shared" si="28"/>
        <v>0</v>
      </c>
      <c r="E92" s="342">
        <f t="shared" si="28"/>
        <v>0</v>
      </c>
      <c r="F92" s="342">
        <f t="shared" si="28"/>
        <v>0</v>
      </c>
      <c r="G92" s="342">
        <f t="shared" si="28"/>
        <v>0</v>
      </c>
      <c r="H92" s="342">
        <f>(H$13*20)/3</f>
        <v>5888666.666666667</v>
      </c>
      <c r="I92" s="343">
        <f t="shared" ref="I92" si="29">(I$13*20)/3</f>
        <v>5888666.666666667</v>
      </c>
      <c r="J92" s="327"/>
    </row>
    <row r="93" spans="1:10" s="283" customFormat="1" ht="15.6" hidden="1" x14ac:dyDescent="0.3">
      <c r="A93" s="344" t="s">
        <v>5</v>
      </c>
      <c r="B93" s="345"/>
      <c r="C93" s="345"/>
      <c r="D93" s="345"/>
      <c r="E93" s="345"/>
      <c r="F93" s="345"/>
      <c r="G93" s="345"/>
      <c r="H93" s="345"/>
      <c r="I93" s="306"/>
      <c r="J93" s="327"/>
    </row>
    <row r="94" spans="1:10" s="283" customFormat="1" ht="15.6" hidden="1" x14ac:dyDescent="0.3">
      <c r="A94" s="346" t="s">
        <v>4</v>
      </c>
      <c r="B94" s="347" t="e">
        <f>SUM(B88:B93)</f>
        <v>#REF!</v>
      </c>
      <c r="C94" s="347" t="e">
        <f>SUM(C88:C93)</f>
        <v>#REF!</v>
      </c>
      <c r="D94" s="347" t="e">
        <f t="shared" ref="D94:I94" si="30">SUM(D88:D93)</f>
        <v>#REF!</v>
      </c>
      <c r="E94" s="347" t="e">
        <f t="shared" si="30"/>
        <v>#REF!</v>
      </c>
      <c r="F94" s="347" t="e">
        <f t="shared" si="30"/>
        <v>#REF!</v>
      </c>
      <c r="G94" s="347" t="e">
        <f t="shared" si="30"/>
        <v>#REF!</v>
      </c>
      <c r="H94" s="347" t="e">
        <f t="shared" si="30"/>
        <v>#REF!</v>
      </c>
      <c r="I94" s="314" t="e">
        <f t="shared" si="30"/>
        <v>#REF!</v>
      </c>
      <c r="J94" s="327"/>
    </row>
    <row r="95" spans="1:10" s="283" customFormat="1" ht="15.6" hidden="1" x14ac:dyDescent="0.3">
      <c r="A95" s="288"/>
      <c r="B95" s="328"/>
      <c r="C95" s="328"/>
      <c r="D95" s="328"/>
      <c r="E95" s="328"/>
      <c r="F95" s="328"/>
      <c r="G95" s="328"/>
      <c r="H95" s="328"/>
      <c r="I95" s="328"/>
      <c r="J95" s="327"/>
    </row>
    <row r="96" spans="1:10" s="283" customFormat="1" ht="15.6" hidden="1" x14ac:dyDescent="0.3">
      <c r="A96" s="288" t="s">
        <v>256</v>
      </c>
      <c r="B96" s="288"/>
      <c r="C96" s="288"/>
      <c r="D96" s="288"/>
      <c r="E96" s="288"/>
      <c r="F96" s="288"/>
      <c r="G96" s="288"/>
      <c r="H96" s="288"/>
      <c r="I96" s="288"/>
      <c r="J96" s="327"/>
    </row>
    <row r="97" spans="1:10" s="283" customFormat="1" ht="15.6" hidden="1" x14ac:dyDescent="0.3">
      <c r="A97" s="339" t="s">
        <v>252</v>
      </c>
      <c r="B97" s="340" t="e">
        <f>(B39*$B$129)</f>
        <v>#REF!</v>
      </c>
      <c r="C97" s="340" t="e">
        <f>(C39*$B$129)</f>
        <v>#REF!</v>
      </c>
      <c r="D97" s="340" t="e">
        <f t="shared" ref="D97:I97" si="31">(D39*$B$129)</f>
        <v>#REF!</v>
      </c>
      <c r="E97" s="340" t="e">
        <f t="shared" si="31"/>
        <v>#REF!</v>
      </c>
      <c r="F97" s="340" t="e">
        <f t="shared" si="31"/>
        <v>#REF!</v>
      </c>
      <c r="G97" s="340" t="e">
        <f t="shared" si="31"/>
        <v>#REF!</v>
      </c>
      <c r="H97" s="340" t="e">
        <f t="shared" si="31"/>
        <v>#REF!</v>
      </c>
      <c r="I97" s="305" t="e">
        <f t="shared" si="31"/>
        <v>#REF!</v>
      </c>
      <c r="J97" s="327"/>
    </row>
    <row r="98" spans="1:10" s="283" customFormat="1" ht="15.6" hidden="1" x14ac:dyDescent="0.3">
      <c r="A98" s="341" t="s">
        <v>188</v>
      </c>
      <c r="B98" s="342">
        <f>(B44*$B$129)</f>
        <v>2664000</v>
      </c>
      <c r="C98" s="342">
        <f>(C44*$B$129)</f>
        <v>2664000</v>
      </c>
      <c r="D98" s="342">
        <f t="shared" ref="D98:I98" si="32">(D44*$B$129)</f>
        <v>2664000</v>
      </c>
      <c r="E98" s="342">
        <f t="shared" si="32"/>
        <v>2664000</v>
      </c>
      <c r="F98" s="342">
        <f t="shared" si="32"/>
        <v>2664000</v>
      </c>
      <c r="G98" s="342">
        <f t="shared" si="32"/>
        <v>2664000</v>
      </c>
      <c r="H98" s="342">
        <f t="shared" si="32"/>
        <v>2664000</v>
      </c>
      <c r="I98" s="343">
        <f t="shared" si="32"/>
        <v>2664000</v>
      </c>
      <c r="J98" s="327"/>
    </row>
    <row r="99" spans="1:10" s="283" customFormat="1" ht="15.6" hidden="1" x14ac:dyDescent="0.3">
      <c r="A99" s="341" t="s">
        <v>253</v>
      </c>
      <c r="B99" s="342" t="e">
        <f>(B49*$B$129)*20</f>
        <v>#REF!</v>
      </c>
      <c r="C99" s="342" t="e">
        <f>(C49*$B$129)*20</f>
        <v>#REF!</v>
      </c>
      <c r="D99" s="342" t="e">
        <f t="shared" ref="D99:I99" si="33">(D49*$B$129)*20</f>
        <v>#REF!</v>
      </c>
      <c r="E99" s="342" t="e">
        <f t="shared" si="33"/>
        <v>#REF!</v>
      </c>
      <c r="F99" s="342" t="e">
        <f t="shared" si="33"/>
        <v>#REF!</v>
      </c>
      <c r="G99" s="342" t="e">
        <f t="shared" si="33"/>
        <v>#REF!</v>
      </c>
      <c r="H99" s="342" t="e">
        <f t="shared" si="33"/>
        <v>#REF!</v>
      </c>
      <c r="I99" s="343" t="e">
        <f t="shared" si="33"/>
        <v>#REF!</v>
      </c>
      <c r="J99" s="327"/>
    </row>
    <row r="100" spans="1:10" s="283" customFormat="1" ht="15.6" hidden="1" x14ac:dyDescent="0.3">
      <c r="A100" s="341" t="s">
        <v>259</v>
      </c>
      <c r="B100" s="342" t="e">
        <f>(B55*$B$129)*20</f>
        <v>#REF!</v>
      </c>
      <c r="C100" s="342" t="e">
        <f>(C55*$B$129)*20</f>
        <v>#REF!</v>
      </c>
      <c r="D100" s="342" t="e">
        <f t="shared" ref="D100:I100" si="34">(D55*$B$129)*20</f>
        <v>#REF!</v>
      </c>
      <c r="E100" s="342" t="e">
        <f t="shared" si="34"/>
        <v>#REF!</v>
      </c>
      <c r="F100" s="342" t="e">
        <f t="shared" si="34"/>
        <v>#REF!</v>
      </c>
      <c r="G100" s="342" t="e">
        <f t="shared" si="34"/>
        <v>#REF!</v>
      </c>
      <c r="H100" s="342" t="e">
        <f t="shared" si="34"/>
        <v>#REF!</v>
      </c>
      <c r="I100" s="343" t="e">
        <f t="shared" si="34"/>
        <v>#REF!</v>
      </c>
      <c r="J100" s="327"/>
    </row>
    <row r="101" spans="1:10" s="283" customFormat="1" ht="15.6" hidden="1" x14ac:dyDescent="0.3">
      <c r="A101" s="341" t="s">
        <v>187</v>
      </c>
      <c r="B101" s="342">
        <f t="shared" ref="B101:I101" si="35">(B$13*20)/3</f>
        <v>0</v>
      </c>
      <c r="C101" s="342">
        <f t="shared" si="35"/>
        <v>0</v>
      </c>
      <c r="D101" s="342">
        <f t="shared" si="35"/>
        <v>0</v>
      </c>
      <c r="E101" s="342">
        <f t="shared" si="35"/>
        <v>0</v>
      </c>
      <c r="F101" s="342">
        <f t="shared" si="35"/>
        <v>0</v>
      </c>
      <c r="G101" s="342">
        <f t="shared" si="35"/>
        <v>0</v>
      </c>
      <c r="H101" s="342">
        <f t="shared" si="35"/>
        <v>5888666.666666667</v>
      </c>
      <c r="I101" s="343">
        <f t="shared" si="35"/>
        <v>5888666.666666667</v>
      </c>
      <c r="J101" s="327"/>
    </row>
    <row r="102" spans="1:10" s="283" customFormat="1" ht="15.6" hidden="1" x14ac:dyDescent="0.3">
      <c r="A102" s="344" t="s">
        <v>5</v>
      </c>
      <c r="B102" s="345"/>
      <c r="C102" s="345"/>
      <c r="D102" s="345"/>
      <c r="E102" s="345"/>
      <c r="F102" s="345"/>
      <c r="G102" s="345"/>
      <c r="H102" s="345"/>
      <c r="I102" s="306"/>
      <c r="J102" s="327"/>
    </row>
    <row r="103" spans="1:10" s="283" customFormat="1" ht="15.6" hidden="1" x14ac:dyDescent="0.3">
      <c r="A103" s="346" t="s">
        <v>4</v>
      </c>
      <c r="B103" s="347" t="e">
        <f>SUM(B97:B102)</f>
        <v>#REF!</v>
      </c>
      <c r="C103" s="347" t="e">
        <f>SUM(C97:C102)</f>
        <v>#REF!</v>
      </c>
      <c r="D103" s="347" t="e">
        <f t="shared" ref="D103:I103" si="36">SUM(D97:D102)</f>
        <v>#REF!</v>
      </c>
      <c r="E103" s="347" t="e">
        <f t="shared" si="36"/>
        <v>#REF!</v>
      </c>
      <c r="F103" s="347" t="e">
        <f t="shared" si="36"/>
        <v>#REF!</v>
      </c>
      <c r="G103" s="347" t="e">
        <f t="shared" si="36"/>
        <v>#REF!</v>
      </c>
      <c r="H103" s="347" t="e">
        <f t="shared" si="36"/>
        <v>#REF!</v>
      </c>
      <c r="I103" s="314" t="e">
        <f t="shared" si="36"/>
        <v>#REF!</v>
      </c>
      <c r="J103" s="327"/>
    </row>
    <row r="104" spans="1:10" s="283" customFormat="1" ht="15.6" hidden="1" x14ac:dyDescent="0.3">
      <c r="A104" s="288"/>
      <c r="B104" s="328"/>
      <c r="C104" s="328"/>
      <c r="D104" s="328"/>
      <c r="E104" s="328"/>
      <c r="F104" s="328"/>
      <c r="G104" s="328"/>
      <c r="H104" s="328"/>
      <c r="I104" s="328"/>
      <c r="J104" s="327"/>
    </row>
    <row r="105" spans="1:10" s="283" customFormat="1" ht="15.6" hidden="1" x14ac:dyDescent="0.3">
      <c r="A105" s="288" t="s">
        <v>257</v>
      </c>
      <c r="B105" s="288"/>
      <c r="C105" s="288"/>
      <c r="D105" s="288"/>
      <c r="E105" s="288"/>
      <c r="F105" s="288"/>
      <c r="G105" s="288"/>
      <c r="H105" s="288"/>
      <c r="I105" s="288"/>
      <c r="J105" s="327"/>
    </row>
    <row r="106" spans="1:10" s="283" customFormat="1" ht="15.6" hidden="1" x14ac:dyDescent="0.3">
      <c r="A106" s="339" t="s">
        <v>252</v>
      </c>
      <c r="B106" s="340" t="e">
        <f>(B40*$B$130)</f>
        <v>#REF!</v>
      </c>
      <c r="C106" s="340" t="e">
        <f>(C40*$B$130)</f>
        <v>#REF!</v>
      </c>
      <c r="D106" s="340" t="e">
        <f>(D40*($B129+$B$130))</f>
        <v>#REF!</v>
      </c>
      <c r="E106" s="340" t="e">
        <f t="shared" ref="E106:I106" si="37">(E40*($B129+$B$130))</f>
        <v>#REF!</v>
      </c>
      <c r="F106" s="340" t="e">
        <f t="shared" si="37"/>
        <v>#REF!</v>
      </c>
      <c r="G106" s="340" t="e">
        <f t="shared" si="37"/>
        <v>#REF!</v>
      </c>
      <c r="H106" s="340" t="e">
        <f t="shared" si="37"/>
        <v>#REF!</v>
      </c>
      <c r="I106" s="305" t="e">
        <f t="shared" si="37"/>
        <v>#REF!</v>
      </c>
      <c r="J106" s="327"/>
    </row>
    <row r="107" spans="1:10" s="283" customFormat="1" ht="15.6" hidden="1" x14ac:dyDescent="0.3">
      <c r="A107" s="341" t="s">
        <v>188</v>
      </c>
      <c r="B107" s="342">
        <v>0</v>
      </c>
      <c r="C107" s="342">
        <v>0</v>
      </c>
      <c r="D107" s="342">
        <v>0</v>
      </c>
      <c r="E107" s="342">
        <v>0</v>
      </c>
      <c r="F107" s="342">
        <v>0</v>
      </c>
      <c r="G107" s="342">
        <v>0</v>
      </c>
      <c r="H107" s="342">
        <v>0</v>
      </c>
      <c r="I107" s="343">
        <v>0</v>
      </c>
      <c r="J107" s="327"/>
    </row>
    <row r="108" spans="1:10" s="283" customFormat="1" ht="15.6" hidden="1" x14ac:dyDescent="0.3">
      <c r="A108" s="341" t="s">
        <v>253</v>
      </c>
      <c r="B108" s="342" t="e">
        <f>(B50*$B$130)*20</f>
        <v>#REF!</v>
      </c>
      <c r="C108" s="342" t="e">
        <f>(C50*($B129+$B$130))*20</f>
        <v>#REF!</v>
      </c>
      <c r="D108" s="342" t="e">
        <f t="shared" ref="D108:I108" si="38">(D50*($B129+$B$130))*20</f>
        <v>#REF!</v>
      </c>
      <c r="E108" s="342" t="e">
        <f t="shared" si="38"/>
        <v>#REF!</v>
      </c>
      <c r="F108" s="342" t="e">
        <f t="shared" si="38"/>
        <v>#REF!</v>
      </c>
      <c r="G108" s="342" t="e">
        <f t="shared" si="38"/>
        <v>#REF!</v>
      </c>
      <c r="H108" s="342" t="e">
        <f t="shared" si="38"/>
        <v>#REF!</v>
      </c>
      <c r="I108" s="343" t="e">
        <f t="shared" si="38"/>
        <v>#REF!</v>
      </c>
      <c r="J108" s="327"/>
    </row>
    <row r="109" spans="1:10" s="283" customFormat="1" ht="15.6" hidden="1" x14ac:dyDescent="0.3">
      <c r="A109" s="341" t="s">
        <v>259</v>
      </c>
      <c r="B109" s="342" t="e">
        <f>(B56*$B$130)*20</f>
        <v>#REF!</v>
      </c>
      <c r="C109" s="342" t="e">
        <f>(C56*($B129+$B$130))*20</f>
        <v>#REF!</v>
      </c>
      <c r="D109" s="342" t="e">
        <f t="shared" ref="D109:I109" si="39">(D56*($B129+$B$130))*20</f>
        <v>#REF!</v>
      </c>
      <c r="E109" s="342" t="e">
        <f t="shared" si="39"/>
        <v>#REF!</v>
      </c>
      <c r="F109" s="342" t="e">
        <f t="shared" si="39"/>
        <v>#REF!</v>
      </c>
      <c r="G109" s="342" t="e">
        <f t="shared" si="39"/>
        <v>#REF!</v>
      </c>
      <c r="H109" s="342" t="e">
        <f t="shared" si="39"/>
        <v>#REF!</v>
      </c>
      <c r="I109" s="343" t="e">
        <f t="shared" si="39"/>
        <v>#REF!</v>
      </c>
      <c r="J109" s="327"/>
    </row>
    <row r="110" spans="1:10" s="283" customFormat="1" ht="15.6" hidden="1" x14ac:dyDescent="0.3">
      <c r="A110" s="341" t="s">
        <v>187</v>
      </c>
      <c r="B110" s="342">
        <f t="shared" ref="B110:I110" si="40">(B$13*20)/3</f>
        <v>0</v>
      </c>
      <c r="C110" s="342">
        <f t="shared" si="40"/>
        <v>0</v>
      </c>
      <c r="D110" s="342">
        <f t="shared" si="40"/>
        <v>0</v>
      </c>
      <c r="E110" s="342">
        <f t="shared" si="40"/>
        <v>0</v>
      </c>
      <c r="F110" s="342">
        <f t="shared" si="40"/>
        <v>0</v>
      </c>
      <c r="G110" s="342">
        <f t="shared" si="40"/>
        <v>0</v>
      </c>
      <c r="H110" s="342">
        <f t="shared" si="40"/>
        <v>5888666.666666667</v>
      </c>
      <c r="I110" s="343">
        <f t="shared" si="40"/>
        <v>5888666.666666667</v>
      </c>
      <c r="J110" s="327"/>
    </row>
    <row r="111" spans="1:10" s="283" customFormat="1" ht="15.6" hidden="1" x14ac:dyDescent="0.3">
      <c r="A111" s="344" t="s">
        <v>5</v>
      </c>
      <c r="B111" s="345"/>
      <c r="C111" s="345"/>
      <c r="D111" s="345"/>
      <c r="E111" s="345"/>
      <c r="F111" s="345"/>
      <c r="G111" s="345"/>
      <c r="H111" s="345"/>
      <c r="I111" s="306"/>
      <c r="J111" s="327"/>
    </row>
    <row r="112" spans="1:10" s="283" customFormat="1" ht="15.6" hidden="1" x14ac:dyDescent="0.3">
      <c r="A112" s="346" t="s">
        <v>4</v>
      </c>
      <c r="B112" s="347" t="e">
        <f>SUM(B106:B111)</f>
        <v>#REF!</v>
      </c>
      <c r="C112" s="347" t="e">
        <f>SUM(C106:C111)</f>
        <v>#REF!</v>
      </c>
      <c r="D112" s="347" t="e">
        <f t="shared" ref="D112:I112" si="41">SUM(D106:D111)</f>
        <v>#REF!</v>
      </c>
      <c r="E112" s="347" t="e">
        <f t="shared" si="41"/>
        <v>#REF!</v>
      </c>
      <c r="F112" s="347" t="e">
        <f t="shared" si="41"/>
        <v>#REF!</v>
      </c>
      <c r="G112" s="347" t="e">
        <f t="shared" si="41"/>
        <v>#REF!</v>
      </c>
      <c r="H112" s="347" t="e">
        <f t="shared" si="41"/>
        <v>#REF!</v>
      </c>
      <c r="I112" s="314" t="e">
        <f t="shared" si="41"/>
        <v>#REF!</v>
      </c>
      <c r="J112" s="327"/>
    </row>
    <row r="113" spans="1:10" s="283" customFormat="1" ht="15.6" hidden="1" x14ac:dyDescent="0.3">
      <c r="A113" s="288"/>
      <c r="B113" s="328" t="e">
        <f>(B94+B103+B112)-(B23+B29+(B35*20))</f>
        <v>#REF!</v>
      </c>
      <c r="C113" s="328" t="e">
        <f t="shared" ref="C113:I113" si="42">(C94+C103+C112)-(C23+C29+(C35*20))</f>
        <v>#REF!</v>
      </c>
      <c r="D113" s="328" t="e">
        <f t="shared" si="42"/>
        <v>#REF!</v>
      </c>
      <c r="E113" s="328" t="e">
        <f t="shared" si="42"/>
        <v>#REF!</v>
      </c>
      <c r="F113" s="328" t="e">
        <f t="shared" si="42"/>
        <v>#REF!</v>
      </c>
      <c r="G113" s="328" t="e">
        <f t="shared" si="42"/>
        <v>#REF!</v>
      </c>
      <c r="H113" s="328" t="e">
        <f t="shared" si="42"/>
        <v>#REF!</v>
      </c>
      <c r="I113" s="328" t="e">
        <f t="shared" si="42"/>
        <v>#REF!</v>
      </c>
      <c r="J113" s="327"/>
    </row>
    <row r="114" spans="1:10" s="283" customFormat="1" ht="15.6" hidden="1" x14ac:dyDescent="0.3">
      <c r="A114" s="329" t="s">
        <v>232</v>
      </c>
      <c r="B114" s="288"/>
      <c r="C114" s="288"/>
      <c r="D114" s="288"/>
      <c r="E114" s="288"/>
      <c r="F114" s="288"/>
      <c r="G114" s="288"/>
      <c r="H114" s="288"/>
      <c r="I114" s="288"/>
      <c r="J114" s="327"/>
    </row>
    <row r="115" spans="1:10" s="283" customFormat="1" ht="15.6" hidden="1" x14ac:dyDescent="0.3">
      <c r="A115" s="330" t="s">
        <v>233</v>
      </c>
      <c r="B115" s="331">
        <v>70</v>
      </c>
      <c r="C115" s="331">
        <v>70</v>
      </c>
      <c r="D115" s="331">
        <v>70</v>
      </c>
      <c r="E115" s="331">
        <v>70</v>
      </c>
      <c r="F115" s="331">
        <v>70</v>
      </c>
      <c r="G115" s="331">
        <v>70</v>
      </c>
      <c r="H115" s="331">
        <v>70</v>
      </c>
      <c r="I115" s="331">
        <v>70</v>
      </c>
      <c r="J115" s="327"/>
    </row>
    <row r="116" spans="1:10" s="283" customFormat="1" ht="15.6" hidden="1" x14ac:dyDescent="0.3">
      <c r="A116" s="332" t="s">
        <v>234</v>
      </c>
      <c r="B116" s="331" t="e">
        <f>B$65-B115</f>
        <v>#REF!</v>
      </c>
      <c r="C116" s="331" t="e">
        <f>C$65-C115</f>
        <v>#REF!</v>
      </c>
      <c r="D116" s="331" t="e">
        <f t="shared" ref="D116:I116" si="43">D$65-D115</f>
        <v>#REF!</v>
      </c>
      <c r="E116" s="331" t="e">
        <f t="shared" si="43"/>
        <v>#REF!</v>
      </c>
      <c r="F116" s="331" t="e">
        <f t="shared" si="43"/>
        <v>#REF!</v>
      </c>
      <c r="G116" s="331" t="e">
        <f t="shared" si="43"/>
        <v>#REF!</v>
      </c>
      <c r="H116" s="331" t="e">
        <f t="shared" si="43"/>
        <v>#REF!</v>
      </c>
      <c r="I116" s="331" t="e">
        <f t="shared" si="43"/>
        <v>#REF!</v>
      </c>
      <c r="J116" s="327"/>
    </row>
    <row r="117" spans="1:10" s="283" customFormat="1" ht="15.6" hidden="1" x14ac:dyDescent="0.3">
      <c r="A117" s="333" t="s">
        <v>235</v>
      </c>
      <c r="B117" s="334">
        <f>(732+637+570)/3</f>
        <v>646.33333333333337</v>
      </c>
      <c r="C117" s="334">
        <f>(732+637+570)/3</f>
        <v>646.33333333333337</v>
      </c>
      <c r="D117" s="334">
        <f t="shared" ref="D117:I117" si="44">(732+637+570)/3</f>
        <v>646.33333333333337</v>
      </c>
      <c r="E117" s="334">
        <f t="shared" si="44"/>
        <v>646.33333333333337</v>
      </c>
      <c r="F117" s="334">
        <f t="shared" si="44"/>
        <v>646.33333333333337</v>
      </c>
      <c r="G117" s="334">
        <f t="shared" si="44"/>
        <v>646.33333333333337</v>
      </c>
      <c r="H117" s="334">
        <f t="shared" si="44"/>
        <v>646.33333333333337</v>
      </c>
      <c r="I117" s="334">
        <f t="shared" si="44"/>
        <v>646.33333333333337</v>
      </c>
      <c r="J117" s="327"/>
    </row>
    <row r="118" spans="1:10" s="283" customFormat="1" ht="15.6" hidden="1" x14ac:dyDescent="0.3">
      <c r="A118" s="335" t="s">
        <v>234</v>
      </c>
      <c r="B118" s="334" t="e">
        <f>B$65-B117</f>
        <v>#REF!</v>
      </c>
      <c r="C118" s="334" t="e">
        <f>C$65-C117</f>
        <v>#REF!</v>
      </c>
      <c r="D118" s="334" t="e">
        <f t="shared" ref="D118:I118" si="45">D$65-D117</f>
        <v>#REF!</v>
      </c>
      <c r="E118" s="334" t="e">
        <f t="shared" si="45"/>
        <v>#REF!</v>
      </c>
      <c r="F118" s="334" t="e">
        <f t="shared" si="45"/>
        <v>#REF!</v>
      </c>
      <c r="G118" s="334" t="e">
        <f t="shared" si="45"/>
        <v>#REF!</v>
      </c>
      <c r="H118" s="334" t="e">
        <f t="shared" si="45"/>
        <v>#REF!</v>
      </c>
      <c r="I118" s="334" t="e">
        <f t="shared" si="45"/>
        <v>#REF!</v>
      </c>
      <c r="J118" s="327"/>
    </row>
    <row r="119" spans="1:10" s="283" customFormat="1" ht="15.6" hidden="1" x14ac:dyDescent="0.3">
      <c r="A119" s="330" t="s">
        <v>236</v>
      </c>
      <c r="B119" s="331">
        <v>756</v>
      </c>
      <c r="C119" s="331">
        <v>756</v>
      </c>
      <c r="D119" s="331">
        <v>756</v>
      </c>
      <c r="E119" s="331">
        <v>756</v>
      </c>
      <c r="F119" s="331">
        <v>756</v>
      </c>
      <c r="G119" s="331">
        <v>756</v>
      </c>
      <c r="H119" s="331">
        <v>756</v>
      </c>
      <c r="I119" s="331">
        <v>756</v>
      </c>
      <c r="J119" s="327"/>
    </row>
    <row r="120" spans="1:10" s="283" customFormat="1" ht="15.6" hidden="1" x14ac:dyDescent="0.3">
      <c r="A120" s="332" t="s">
        <v>234</v>
      </c>
      <c r="B120" s="331" t="e">
        <f>B$65-B119</f>
        <v>#REF!</v>
      </c>
      <c r="C120" s="331" t="e">
        <f>C$65-C119</f>
        <v>#REF!</v>
      </c>
      <c r="D120" s="331" t="e">
        <f t="shared" ref="D120:I120" si="46">D$65-D119</f>
        <v>#REF!</v>
      </c>
      <c r="E120" s="331" t="e">
        <f t="shared" si="46"/>
        <v>#REF!</v>
      </c>
      <c r="F120" s="331" t="e">
        <f t="shared" si="46"/>
        <v>#REF!</v>
      </c>
      <c r="G120" s="331" t="e">
        <f t="shared" si="46"/>
        <v>#REF!</v>
      </c>
      <c r="H120" s="331" t="e">
        <f t="shared" si="46"/>
        <v>#REF!</v>
      </c>
      <c r="I120" s="331" t="e">
        <f t="shared" si="46"/>
        <v>#REF!</v>
      </c>
      <c r="J120" s="327"/>
    </row>
    <row r="121" spans="1:10" ht="15.6" hidden="1" x14ac:dyDescent="0.3">
      <c r="A121" s="288" t="s">
        <v>245</v>
      </c>
      <c r="B121" s="326"/>
      <c r="C121" s="326"/>
      <c r="D121" s="326"/>
      <c r="E121" s="326"/>
      <c r="F121" s="326"/>
      <c r="G121" s="326"/>
      <c r="H121" s="326"/>
      <c r="I121" s="326"/>
    </row>
    <row r="122" spans="1:10" ht="15.6" hidden="1" x14ac:dyDescent="0.3">
      <c r="A122" s="287" t="s">
        <v>179</v>
      </c>
    </row>
    <row r="123" spans="1:10" ht="15.6" hidden="1" x14ac:dyDescent="0.3">
      <c r="A123" s="287" t="s">
        <v>180</v>
      </c>
    </row>
    <row r="124" spans="1:10" ht="15.6" hidden="1" x14ac:dyDescent="0.3">
      <c r="A124" s="287"/>
    </row>
    <row r="125" spans="1:10" ht="15.6" x14ac:dyDescent="0.3">
      <c r="A125" s="417" t="s">
        <v>192</v>
      </c>
      <c r="B125" s="418"/>
      <c r="C125" s="418"/>
      <c r="D125" s="418"/>
      <c r="E125" s="418"/>
      <c r="F125" s="418"/>
      <c r="G125" s="419"/>
    </row>
    <row r="126" spans="1:10" ht="15.6" x14ac:dyDescent="0.3">
      <c r="A126" s="287"/>
    </row>
    <row r="127" spans="1:10" ht="15.6" x14ac:dyDescent="0.3">
      <c r="A127" s="289" t="s">
        <v>181</v>
      </c>
      <c r="B127" s="352" t="s">
        <v>184</v>
      </c>
      <c r="C127" s="302" t="s">
        <v>185</v>
      </c>
      <c r="E127" s="415" t="s">
        <v>188</v>
      </c>
      <c r="F127" s="416"/>
    </row>
    <row r="128" spans="1:10" ht="15.6" x14ac:dyDescent="0.3">
      <c r="A128" s="290" t="s">
        <v>189</v>
      </c>
      <c r="B128" s="292">
        <v>349</v>
      </c>
      <c r="C128" s="295">
        <f>B128/B$132</f>
        <v>5.8823529411764705E-2</v>
      </c>
      <c r="E128" s="304" t="s">
        <v>189</v>
      </c>
      <c r="F128" s="305">
        <v>0</v>
      </c>
    </row>
    <row r="129" spans="1:7" ht="15.6" x14ac:dyDescent="0.3">
      <c r="A129" s="291" t="s">
        <v>190</v>
      </c>
      <c r="B129" s="293">
        <v>333</v>
      </c>
      <c r="C129" s="296">
        <f t="shared" ref="C129:C131" si="47">B129/B$132</f>
        <v>5.6126748693746842E-2</v>
      </c>
      <c r="E129" s="298" t="s">
        <v>190</v>
      </c>
      <c r="F129" s="306">
        <v>8000</v>
      </c>
    </row>
    <row r="130" spans="1:7" ht="15.6" x14ac:dyDescent="0.3">
      <c r="A130" s="291" t="s">
        <v>182</v>
      </c>
      <c r="B130" s="293">
        <v>5251</v>
      </c>
      <c r="C130" s="296">
        <f t="shared" si="47"/>
        <v>0.88504972189448849</v>
      </c>
      <c r="E130" s="288"/>
      <c r="F130" s="307"/>
    </row>
    <row r="131" spans="1:7" ht="15.6" hidden="1" x14ac:dyDescent="0.3">
      <c r="A131" s="298" t="s">
        <v>183</v>
      </c>
      <c r="B131" s="294"/>
      <c r="C131" s="297">
        <f t="shared" si="47"/>
        <v>0</v>
      </c>
    </row>
    <row r="132" spans="1:7" ht="15.6" x14ac:dyDescent="0.3">
      <c r="A132" s="268" t="s">
        <v>4</v>
      </c>
      <c r="B132" s="299">
        <f>SUM(B128:B131)</f>
        <v>5933</v>
      </c>
      <c r="C132" s="300">
        <f>SUM(C128:C131)</f>
        <v>1</v>
      </c>
      <c r="E132" s="337" t="s">
        <v>191</v>
      </c>
      <c r="F132" s="309">
        <v>20</v>
      </c>
    </row>
    <row r="133" spans="1:7" ht="15.6" x14ac:dyDescent="0.3">
      <c r="A133" s="349"/>
      <c r="B133" s="350"/>
      <c r="C133" s="351"/>
    </row>
    <row r="134" spans="1:7" ht="15.6" hidden="1" x14ac:dyDescent="0.3">
      <c r="E134" s="336" t="s">
        <v>186</v>
      </c>
      <c r="F134" s="303">
        <v>0.28000000000000003</v>
      </c>
    </row>
    <row r="135" spans="1:7" ht="15.6" x14ac:dyDescent="0.3">
      <c r="A135" s="413" t="s">
        <v>187</v>
      </c>
      <c r="B135" s="414"/>
    </row>
    <row r="136" spans="1:7" ht="15.6" x14ac:dyDescent="0.3">
      <c r="A136" s="304" t="s">
        <v>193</v>
      </c>
      <c r="B136" s="310">
        <v>0.11</v>
      </c>
      <c r="E136" s="415" t="s">
        <v>221</v>
      </c>
      <c r="F136" s="416"/>
    </row>
    <row r="137" spans="1:7" ht="15.6" x14ac:dyDescent="0.3">
      <c r="A137" s="311" t="s">
        <v>194</v>
      </c>
      <c r="B137" s="312">
        <v>22000</v>
      </c>
      <c r="E137" s="304" t="s">
        <v>133</v>
      </c>
      <c r="F137" s="321">
        <v>0.05</v>
      </c>
    </row>
    <row r="138" spans="1:7" ht="15.6" x14ac:dyDescent="0.3">
      <c r="A138" s="298" t="s">
        <v>195</v>
      </c>
      <c r="B138" s="313">
        <v>365</v>
      </c>
      <c r="E138" s="311" t="s">
        <v>222</v>
      </c>
      <c r="F138" s="322">
        <v>0</v>
      </c>
    </row>
    <row r="139" spans="1:7" ht="15.6" x14ac:dyDescent="0.3">
      <c r="A139" s="268" t="s">
        <v>196</v>
      </c>
      <c r="B139" s="314">
        <f>B136*B137*B138</f>
        <v>883300</v>
      </c>
      <c r="E139" s="298" t="s">
        <v>224</v>
      </c>
      <c r="F139" s="323">
        <v>0.2</v>
      </c>
    </row>
    <row r="141" spans="1:7" ht="15.6" x14ac:dyDescent="0.3">
      <c r="A141" s="413" t="s">
        <v>263</v>
      </c>
      <c r="B141" s="414"/>
      <c r="E141" s="325" t="s">
        <v>223</v>
      </c>
      <c r="F141" s="325"/>
      <c r="G141" s="324"/>
    </row>
    <row r="142" spans="1:7" ht="15.6" x14ac:dyDescent="0.3">
      <c r="A142" s="304" t="s">
        <v>264</v>
      </c>
      <c r="B142" s="305">
        <v>1250000</v>
      </c>
      <c r="E142" s="325" t="s">
        <v>225</v>
      </c>
      <c r="F142" s="325"/>
      <c r="G142" s="325"/>
    </row>
    <row r="143" spans="1:7" ht="15.6" x14ac:dyDescent="0.3">
      <c r="A143" s="298" t="s">
        <v>265</v>
      </c>
      <c r="B143" s="306">
        <v>125000</v>
      </c>
      <c r="E143" s="325" t="s">
        <v>226</v>
      </c>
      <c r="F143" s="325"/>
      <c r="G143" s="325"/>
    </row>
    <row r="144" spans="1:7" ht="15.6" x14ac:dyDescent="0.3">
      <c r="E144" s="325" t="s">
        <v>227</v>
      </c>
      <c r="F144" s="325"/>
      <c r="G144" s="325"/>
    </row>
    <row r="145" spans="1:9" ht="15.6" x14ac:dyDescent="0.3">
      <c r="E145" s="325" t="s">
        <v>228</v>
      </c>
      <c r="F145" s="324"/>
      <c r="G145" s="324"/>
    </row>
    <row r="148" spans="1:9" s="288" customFormat="1" ht="15.6" hidden="1" x14ac:dyDescent="0.3">
      <c r="A148" s="354" t="s">
        <v>266</v>
      </c>
      <c r="B148" s="298"/>
    </row>
    <row r="149" spans="1:9" s="288" customFormat="1" ht="15.6" hidden="1" x14ac:dyDescent="0.3">
      <c r="A149" s="355" t="s">
        <v>267</v>
      </c>
      <c r="B149" s="356"/>
      <c r="C149" s="356"/>
      <c r="D149" s="356"/>
      <c r="E149" s="356"/>
      <c r="F149" s="356"/>
      <c r="G149" s="356"/>
      <c r="H149" s="356"/>
      <c r="I149" s="356"/>
    </row>
    <row r="150" spans="1:9" s="288" customFormat="1" ht="15.6" hidden="1" x14ac:dyDescent="0.3">
      <c r="A150" s="357" t="s">
        <v>268</v>
      </c>
      <c r="B150" s="358" t="e">
        <f t="shared" ref="B150:I151" si="48">B48*20*$B128</f>
        <v>#REF!</v>
      </c>
      <c r="C150" s="358" t="e">
        <f t="shared" si="48"/>
        <v>#REF!</v>
      </c>
      <c r="D150" s="358" t="e">
        <f t="shared" si="48"/>
        <v>#REF!</v>
      </c>
      <c r="E150" s="358" t="e">
        <f t="shared" si="48"/>
        <v>#REF!</v>
      </c>
      <c r="F150" s="358" t="e">
        <f t="shared" si="48"/>
        <v>#REF!</v>
      </c>
      <c r="G150" s="358" t="e">
        <f t="shared" si="48"/>
        <v>#REF!</v>
      </c>
      <c r="H150" s="358" t="e">
        <f t="shared" si="48"/>
        <v>#REF!</v>
      </c>
      <c r="I150" s="358" t="e">
        <f t="shared" si="48"/>
        <v>#REF!</v>
      </c>
    </row>
    <row r="151" spans="1:9" s="288" customFormat="1" ht="15.6" hidden="1" x14ac:dyDescent="0.3">
      <c r="A151" s="357" t="s">
        <v>269</v>
      </c>
      <c r="B151" s="358" t="e">
        <f t="shared" si="48"/>
        <v>#REF!</v>
      </c>
      <c r="C151" s="358" t="e">
        <f t="shared" si="48"/>
        <v>#REF!</v>
      </c>
      <c r="D151" s="358" t="e">
        <f t="shared" si="48"/>
        <v>#REF!</v>
      </c>
      <c r="E151" s="358" t="e">
        <f t="shared" si="48"/>
        <v>#REF!</v>
      </c>
      <c r="F151" s="358" t="e">
        <f t="shared" si="48"/>
        <v>#REF!</v>
      </c>
      <c r="G151" s="358" t="e">
        <f t="shared" si="48"/>
        <v>#REF!</v>
      </c>
      <c r="H151" s="358" t="e">
        <f t="shared" si="48"/>
        <v>#REF!</v>
      </c>
      <c r="I151" s="358" t="e">
        <f t="shared" si="48"/>
        <v>#REF!</v>
      </c>
    </row>
    <row r="152" spans="1:9" s="288" customFormat="1" ht="15.6" hidden="1" x14ac:dyDescent="0.3">
      <c r="A152" s="357" t="s">
        <v>270</v>
      </c>
      <c r="B152" s="358" t="e">
        <f>IF(B151=0,B50*20*($B129+$B130),B50*20*$B130)</f>
        <v>#REF!</v>
      </c>
      <c r="C152" s="358" t="e">
        <f>IF(C151=0,C50*20*($B129+$B130),C50*20*$B130)</f>
        <v>#REF!</v>
      </c>
      <c r="D152" s="358" t="e">
        <f t="shared" ref="D152:I152" si="49">IF(D151=0,D50*20*($B129+$B130),D50*20*$B130)</f>
        <v>#REF!</v>
      </c>
      <c r="E152" s="358" t="e">
        <f t="shared" si="49"/>
        <v>#REF!</v>
      </c>
      <c r="F152" s="358" t="e">
        <f t="shared" si="49"/>
        <v>#REF!</v>
      </c>
      <c r="G152" s="358" t="e">
        <f t="shared" si="49"/>
        <v>#REF!</v>
      </c>
      <c r="H152" s="358" t="e">
        <f t="shared" si="49"/>
        <v>#REF!</v>
      </c>
      <c r="I152" s="358" t="e">
        <f t="shared" si="49"/>
        <v>#REF!</v>
      </c>
    </row>
    <row r="153" spans="1:9" s="288" customFormat="1" ht="15.6" hidden="1" x14ac:dyDescent="0.3">
      <c r="A153" s="359" t="s">
        <v>6</v>
      </c>
      <c r="B153" s="360" t="e">
        <f t="shared" ref="B153:I153" si="50">SUM(B150:B152)</f>
        <v>#REF!</v>
      </c>
      <c r="C153" s="360" t="e">
        <f t="shared" si="50"/>
        <v>#REF!</v>
      </c>
      <c r="D153" s="360" t="e">
        <f t="shared" si="50"/>
        <v>#REF!</v>
      </c>
      <c r="E153" s="360" t="e">
        <f t="shared" si="50"/>
        <v>#REF!</v>
      </c>
      <c r="F153" s="360" t="e">
        <f t="shared" si="50"/>
        <v>#REF!</v>
      </c>
      <c r="G153" s="360" t="e">
        <f t="shared" si="50"/>
        <v>#REF!</v>
      </c>
      <c r="H153" s="360" t="e">
        <f t="shared" si="50"/>
        <v>#REF!</v>
      </c>
      <c r="I153" s="360" t="e">
        <f t="shared" si="50"/>
        <v>#REF!</v>
      </c>
    </row>
    <row r="154" spans="1:9" s="288" customFormat="1" ht="15.6" hidden="1" x14ac:dyDescent="0.3">
      <c r="A154" s="357" t="s">
        <v>187</v>
      </c>
      <c r="B154" s="358">
        <f>B13*20</f>
        <v>0</v>
      </c>
      <c r="C154" s="358">
        <f t="shared" ref="C154:I154" si="51">C13*20</f>
        <v>0</v>
      </c>
      <c r="D154" s="358">
        <f t="shared" si="51"/>
        <v>0</v>
      </c>
      <c r="E154" s="358">
        <f t="shared" si="51"/>
        <v>0</v>
      </c>
      <c r="F154" s="358">
        <f t="shared" si="51"/>
        <v>0</v>
      </c>
      <c r="G154" s="358">
        <f t="shared" si="51"/>
        <v>0</v>
      </c>
      <c r="H154" s="358">
        <f t="shared" si="51"/>
        <v>17666000</v>
      </c>
      <c r="I154" s="358">
        <f t="shared" si="51"/>
        <v>17666000</v>
      </c>
    </row>
    <row r="155" spans="1:9" s="288" customFormat="1" ht="15.6" hidden="1" x14ac:dyDescent="0.3">
      <c r="A155" s="359" t="s">
        <v>271</v>
      </c>
      <c r="B155" s="360" t="e">
        <f>SUM(B153:B154)</f>
        <v>#REF!</v>
      </c>
      <c r="C155" s="360" t="e">
        <f t="shared" ref="C155:I155" si="52">SUM(C153:C154)</f>
        <v>#REF!</v>
      </c>
      <c r="D155" s="360" t="e">
        <f t="shared" si="52"/>
        <v>#REF!</v>
      </c>
      <c r="E155" s="360" t="e">
        <f t="shared" si="52"/>
        <v>#REF!</v>
      </c>
      <c r="F155" s="360" t="e">
        <f t="shared" si="52"/>
        <v>#REF!</v>
      </c>
      <c r="G155" s="360" t="e">
        <f t="shared" si="52"/>
        <v>#REF!</v>
      </c>
      <c r="H155" s="360" t="e">
        <f t="shared" si="52"/>
        <v>#REF!</v>
      </c>
      <c r="I155" s="360" t="e">
        <f t="shared" si="52"/>
        <v>#REF!</v>
      </c>
    </row>
    <row r="156" spans="1:9" s="288" customFormat="1" ht="15.6" hidden="1" x14ac:dyDescent="0.3">
      <c r="A156" s="357"/>
      <c r="B156" s="358"/>
      <c r="C156" s="358"/>
      <c r="D156" s="358"/>
      <c r="E156" s="358"/>
      <c r="F156" s="358"/>
      <c r="G156" s="358"/>
      <c r="H156" s="358"/>
      <c r="I156" s="358"/>
    </row>
    <row r="157" spans="1:9" s="288" customFormat="1" ht="15.6" hidden="1" x14ac:dyDescent="0.3">
      <c r="A157" s="357" t="s">
        <v>272</v>
      </c>
      <c r="B157" s="358" t="e">
        <f t="shared" ref="B157:I157" si="53">B35*20</f>
        <v>#REF!</v>
      </c>
      <c r="C157" s="358" t="e">
        <f t="shared" si="53"/>
        <v>#REF!</v>
      </c>
      <c r="D157" s="358" t="e">
        <f t="shared" si="53"/>
        <v>#REF!</v>
      </c>
      <c r="E157" s="358" t="e">
        <f t="shared" si="53"/>
        <v>#REF!</v>
      </c>
      <c r="F157" s="358" t="e">
        <f t="shared" si="53"/>
        <v>#REF!</v>
      </c>
      <c r="G157" s="358" t="e">
        <f t="shared" si="53"/>
        <v>#REF!</v>
      </c>
      <c r="H157" s="358" t="e">
        <f t="shared" si="53"/>
        <v>#REF!</v>
      </c>
      <c r="I157" s="358" t="e">
        <f t="shared" si="53"/>
        <v>#REF!</v>
      </c>
    </row>
    <row r="158" spans="1:9" s="288" customFormat="1" ht="15.6" hidden="1" x14ac:dyDescent="0.3">
      <c r="A158" s="361" t="s">
        <v>273</v>
      </c>
      <c r="B158" s="362" t="e">
        <f>B155-B157</f>
        <v>#REF!</v>
      </c>
      <c r="C158" s="362" t="e">
        <f t="shared" ref="C158:I158" si="54">C155-C157</f>
        <v>#REF!</v>
      </c>
      <c r="D158" s="362" t="e">
        <f t="shared" si="54"/>
        <v>#REF!</v>
      </c>
      <c r="E158" s="362" t="e">
        <f t="shared" si="54"/>
        <v>#REF!</v>
      </c>
      <c r="F158" s="362" t="e">
        <f t="shared" si="54"/>
        <v>#REF!</v>
      </c>
      <c r="G158" s="362" t="e">
        <f t="shared" si="54"/>
        <v>#REF!</v>
      </c>
      <c r="H158" s="362" t="e">
        <f t="shared" si="54"/>
        <v>#REF!</v>
      </c>
      <c r="I158" s="362" t="e">
        <f t="shared" si="54"/>
        <v>#REF!</v>
      </c>
    </row>
    <row r="159" spans="1:9" s="288" customFormat="1" ht="15.6" hidden="1" x14ac:dyDescent="0.3">
      <c r="B159" s="348"/>
      <c r="C159" s="348"/>
      <c r="D159" s="348"/>
      <c r="E159" s="348"/>
      <c r="F159" s="348"/>
      <c r="G159" s="348"/>
      <c r="H159" s="348"/>
      <c r="I159" s="348"/>
    </row>
    <row r="160" spans="1:9" s="288" customFormat="1" ht="15.6" hidden="1" x14ac:dyDescent="0.3">
      <c r="A160" s="354" t="s">
        <v>274</v>
      </c>
      <c r="B160" s="363"/>
      <c r="C160" s="363"/>
      <c r="D160" s="363"/>
      <c r="E160" s="363"/>
      <c r="F160" s="363"/>
      <c r="G160" s="363"/>
      <c r="H160" s="363"/>
      <c r="I160" s="363"/>
    </row>
    <row r="161" spans="1:9" s="288" customFormat="1" ht="15.6" hidden="1" x14ac:dyDescent="0.3">
      <c r="A161" s="355" t="s">
        <v>275</v>
      </c>
      <c r="B161" s="364"/>
      <c r="C161" s="364"/>
      <c r="D161" s="364"/>
      <c r="E161" s="364"/>
      <c r="F161" s="364"/>
      <c r="G161" s="364"/>
      <c r="H161" s="364"/>
      <c r="I161" s="364"/>
    </row>
    <row r="162" spans="1:9" s="288" customFormat="1" ht="15.6" hidden="1" x14ac:dyDescent="0.3">
      <c r="A162" s="357" t="s">
        <v>268</v>
      </c>
      <c r="B162" s="365">
        <f t="shared" ref="B162:I163" si="55">B43*$B128</f>
        <v>0</v>
      </c>
      <c r="C162" s="365">
        <f t="shared" si="55"/>
        <v>0</v>
      </c>
      <c r="D162" s="365">
        <f t="shared" si="55"/>
        <v>0</v>
      </c>
      <c r="E162" s="365">
        <f t="shared" si="55"/>
        <v>0</v>
      </c>
      <c r="F162" s="365">
        <f t="shared" si="55"/>
        <v>0</v>
      </c>
      <c r="G162" s="365">
        <f t="shared" si="55"/>
        <v>0</v>
      </c>
      <c r="H162" s="365">
        <f t="shared" si="55"/>
        <v>0</v>
      </c>
      <c r="I162" s="365">
        <f t="shared" si="55"/>
        <v>0</v>
      </c>
    </row>
    <row r="163" spans="1:9" s="288" customFormat="1" ht="15.6" hidden="1" x14ac:dyDescent="0.3">
      <c r="A163" s="357" t="s">
        <v>269</v>
      </c>
      <c r="B163" s="365">
        <f t="shared" si="55"/>
        <v>2664000</v>
      </c>
      <c r="C163" s="365">
        <f t="shared" si="55"/>
        <v>2664000</v>
      </c>
      <c r="D163" s="365">
        <f t="shared" si="55"/>
        <v>2664000</v>
      </c>
      <c r="E163" s="365">
        <f t="shared" si="55"/>
        <v>2664000</v>
      </c>
      <c r="F163" s="365">
        <f t="shared" si="55"/>
        <v>2664000</v>
      </c>
      <c r="G163" s="365">
        <f t="shared" si="55"/>
        <v>2664000</v>
      </c>
      <c r="H163" s="365">
        <f t="shared" si="55"/>
        <v>2664000</v>
      </c>
      <c r="I163" s="365">
        <f t="shared" si="55"/>
        <v>2664000</v>
      </c>
    </row>
    <row r="164" spans="1:9" s="288" customFormat="1" ht="15.6" hidden="1" x14ac:dyDescent="0.3">
      <c r="A164" s="357"/>
      <c r="B164" s="365"/>
      <c r="C164" s="365"/>
      <c r="D164" s="365"/>
      <c r="E164" s="365"/>
      <c r="F164" s="365"/>
      <c r="G164" s="365"/>
      <c r="H164" s="365"/>
      <c r="I164" s="365"/>
    </row>
    <row r="165" spans="1:9" s="288" customFormat="1" ht="15.6" hidden="1" x14ac:dyDescent="0.3">
      <c r="A165" s="359" t="s">
        <v>276</v>
      </c>
      <c r="B165" s="358"/>
      <c r="C165" s="358"/>
      <c r="D165" s="358"/>
      <c r="E165" s="358"/>
      <c r="F165" s="358"/>
      <c r="G165" s="358"/>
      <c r="H165" s="358"/>
      <c r="I165" s="358"/>
    </row>
    <row r="166" spans="1:9" s="288" customFormat="1" ht="15.6" hidden="1" x14ac:dyDescent="0.3">
      <c r="A166" s="357" t="s">
        <v>268</v>
      </c>
      <c r="B166" s="358" t="e">
        <f t="shared" ref="B166:I167" si="56">B38*$B128</f>
        <v>#REF!</v>
      </c>
      <c r="C166" s="358" t="e">
        <f t="shared" si="56"/>
        <v>#REF!</v>
      </c>
      <c r="D166" s="358" t="e">
        <f t="shared" si="56"/>
        <v>#REF!</v>
      </c>
      <c r="E166" s="358" t="e">
        <f t="shared" si="56"/>
        <v>#REF!</v>
      </c>
      <c r="F166" s="358" t="e">
        <f t="shared" si="56"/>
        <v>#REF!</v>
      </c>
      <c r="G166" s="358" t="e">
        <f t="shared" si="56"/>
        <v>#REF!</v>
      </c>
      <c r="H166" s="358" t="e">
        <f t="shared" si="56"/>
        <v>#REF!</v>
      </c>
      <c r="I166" s="358" t="e">
        <f t="shared" si="56"/>
        <v>#REF!</v>
      </c>
    </row>
    <row r="167" spans="1:9" s="288" customFormat="1" ht="15.6" hidden="1" x14ac:dyDescent="0.3">
      <c r="A167" s="357" t="s">
        <v>269</v>
      </c>
      <c r="B167" s="358" t="e">
        <f t="shared" si="56"/>
        <v>#REF!</v>
      </c>
      <c r="C167" s="358" t="e">
        <f t="shared" si="56"/>
        <v>#REF!</v>
      </c>
      <c r="D167" s="358" t="e">
        <f t="shared" si="56"/>
        <v>#REF!</v>
      </c>
      <c r="E167" s="358" t="e">
        <f t="shared" si="56"/>
        <v>#REF!</v>
      </c>
      <c r="F167" s="358" t="e">
        <f t="shared" si="56"/>
        <v>#REF!</v>
      </c>
      <c r="G167" s="358" t="e">
        <f t="shared" si="56"/>
        <v>#REF!</v>
      </c>
      <c r="H167" s="358" t="e">
        <f t="shared" si="56"/>
        <v>#REF!</v>
      </c>
      <c r="I167" s="358" t="e">
        <f t="shared" si="56"/>
        <v>#REF!</v>
      </c>
    </row>
    <row r="168" spans="1:9" s="288" customFormat="1" ht="15.6" hidden="1" x14ac:dyDescent="0.3">
      <c r="A168" s="357" t="s">
        <v>270</v>
      </c>
      <c r="B168" s="358" t="e">
        <f>IF(B167=0,B40*($B129+$B130),B40*$B130)</f>
        <v>#REF!</v>
      </c>
      <c r="C168" s="358" t="e">
        <f>IF(C167=0,C40*($B129+$B130),C40*$B130)</f>
        <v>#REF!</v>
      </c>
      <c r="D168" s="358" t="e">
        <f t="shared" ref="D168:I168" si="57">IF(D167=0,D40*($B129+$B130),D40*$B130)</f>
        <v>#REF!</v>
      </c>
      <c r="E168" s="358" t="e">
        <f t="shared" si="57"/>
        <v>#REF!</v>
      </c>
      <c r="F168" s="358" t="e">
        <f t="shared" si="57"/>
        <v>#REF!</v>
      </c>
      <c r="G168" s="358" t="e">
        <f t="shared" si="57"/>
        <v>#REF!</v>
      </c>
      <c r="H168" s="358" t="e">
        <f t="shared" si="57"/>
        <v>#REF!</v>
      </c>
      <c r="I168" s="358" t="e">
        <f t="shared" si="57"/>
        <v>#REF!</v>
      </c>
    </row>
    <row r="169" spans="1:9" s="288" customFormat="1" ht="15.6" hidden="1" x14ac:dyDescent="0.3">
      <c r="A169" s="359" t="s">
        <v>6</v>
      </c>
      <c r="B169" s="360" t="e">
        <f t="shared" ref="B169:I169" si="58">SUM(B166:B168)</f>
        <v>#REF!</v>
      </c>
      <c r="C169" s="360" t="e">
        <f t="shared" si="58"/>
        <v>#REF!</v>
      </c>
      <c r="D169" s="360" t="e">
        <f t="shared" si="58"/>
        <v>#REF!</v>
      </c>
      <c r="E169" s="360" t="e">
        <f t="shared" si="58"/>
        <v>#REF!</v>
      </c>
      <c r="F169" s="360" t="e">
        <f t="shared" si="58"/>
        <v>#REF!</v>
      </c>
      <c r="G169" s="360" t="e">
        <f t="shared" si="58"/>
        <v>#REF!</v>
      </c>
      <c r="H169" s="360" t="e">
        <f t="shared" si="58"/>
        <v>#REF!</v>
      </c>
      <c r="I169" s="360" t="e">
        <f t="shared" si="58"/>
        <v>#REF!</v>
      </c>
    </row>
    <row r="170" spans="1:9" s="288" customFormat="1" ht="15.6" hidden="1" x14ac:dyDescent="0.3">
      <c r="A170" s="357"/>
      <c r="B170" s="358"/>
      <c r="C170" s="358"/>
      <c r="D170" s="358"/>
      <c r="E170" s="358"/>
      <c r="F170" s="358"/>
      <c r="G170" s="358"/>
      <c r="H170" s="358"/>
      <c r="I170" s="358"/>
    </row>
    <row r="171" spans="1:9" s="288" customFormat="1" ht="15.6" hidden="1" x14ac:dyDescent="0.3">
      <c r="A171" s="359" t="s">
        <v>277</v>
      </c>
      <c r="B171" s="358"/>
      <c r="C171" s="358"/>
      <c r="D171" s="358"/>
      <c r="E171" s="358"/>
      <c r="F171" s="358"/>
      <c r="G171" s="358"/>
      <c r="H171" s="358"/>
      <c r="I171" s="358"/>
    </row>
    <row r="172" spans="1:9" s="288" customFormat="1" ht="15.6" hidden="1" x14ac:dyDescent="0.3">
      <c r="A172" s="357" t="s">
        <v>268</v>
      </c>
      <c r="B172" s="358" t="e">
        <f t="shared" ref="B172:I173" si="59">B54*$B128*20</f>
        <v>#REF!</v>
      </c>
      <c r="C172" s="358" t="e">
        <f t="shared" si="59"/>
        <v>#REF!</v>
      </c>
      <c r="D172" s="358" t="e">
        <f t="shared" si="59"/>
        <v>#REF!</v>
      </c>
      <c r="E172" s="358" t="e">
        <f t="shared" si="59"/>
        <v>#REF!</v>
      </c>
      <c r="F172" s="358" t="e">
        <f t="shared" si="59"/>
        <v>#REF!</v>
      </c>
      <c r="G172" s="358" t="e">
        <f t="shared" si="59"/>
        <v>#REF!</v>
      </c>
      <c r="H172" s="358" t="e">
        <f t="shared" si="59"/>
        <v>#REF!</v>
      </c>
      <c r="I172" s="358" t="e">
        <f t="shared" si="59"/>
        <v>#REF!</v>
      </c>
    </row>
    <row r="173" spans="1:9" s="288" customFormat="1" ht="15.6" hidden="1" x14ac:dyDescent="0.3">
      <c r="A173" s="357" t="s">
        <v>269</v>
      </c>
      <c r="B173" s="358" t="e">
        <f t="shared" si="59"/>
        <v>#REF!</v>
      </c>
      <c r="C173" s="358" t="e">
        <f t="shared" si="59"/>
        <v>#REF!</v>
      </c>
      <c r="D173" s="358" t="e">
        <f t="shared" si="59"/>
        <v>#REF!</v>
      </c>
      <c r="E173" s="358" t="e">
        <f t="shared" si="59"/>
        <v>#REF!</v>
      </c>
      <c r="F173" s="358" t="e">
        <f t="shared" si="59"/>
        <v>#REF!</v>
      </c>
      <c r="G173" s="358" t="e">
        <f t="shared" si="59"/>
        <v>#REF!</v>
      </c>
      <c r="H173" s="358" t="e">
        <f t="shared" si="59"/>
        <v>#REF!</v>
      </c>
      <c r="I173" s="358" t="e">
        <f t="shared" si="59"/>
        <v>#REF!</v>
      </c>
    </row>
    <row r="174" spans="1:9" s="288" customFormat="1" ht="15.6" hidden="1" x14ac:dyDescent="0.3">
      <c r="A174" s="357" t="s">
        <v>270</v>
      </c>
      <c r="B174" s="358" t="e">
        <f>IF(B173=0,B56*($B129+$B130)*20,B56*$B130*20)</f>
        <v>#REF!</v>
      </c>
      <c r="C174" s="358" t="e">
        <f>IF(C173=0,C56*($B129+$B130)*20,C56*$B130*20)</f>
        <v>#REF!</v>
      </c>
      <c r="D174" s="358" t="e">
        <f>IF(D173=0,D56*($B129+$B130)*20,D56*$B130*20)</f>
        <v>#REF!</v>
      </c>
      <c r="E174" s="358" t="e">
        <f t="shared" ref="E174:I174" si="60">IF(E173=0,E56*($B129+$B130)*20,E56*$B130*20)</f>
        <v>#REF!</v>
      </c>
      <c r="F174" s="358" t="e">
        <f t="shared" si="60"/>
        <v>#REF!</v>
      </c>
      <c r="G174" s="358" t="e">
        <f t="shared" si="60"/>
        <v>#REF!</v>
      </c>
      <c r="H174" s="358" t="e">
        <f t="shared" si="60"/>
        <v>#REF!</v>
      </c>
      <c r="I174" s="358" t="e">
        <f t="shared" si="60"/>
        <v>#REF!</v>
      </c>
    </row>
    <row r="175" spans="1:9" s="288" customFormat="1" ht="15.6" hidden="1" x14ac:dyDescent="0.3">
      <c r="A175" s="366" t="s">
        <v>6</v>
      </c>
      <c r="B175" s="367" t="e">
        <f t="shared" ref="B175:I175" si="61">SUM(B172:B174)</f>
        <v>#REF!</v>
      </c>
      <c r="C175" s="367" t="e">
        <f t="shared" si="61"/>
        <v>#REF!</v>
      </c>
      <c r="D175" s="367" t="e">
        <f t="shared" si="61"/>
        <v>#REF!</v>
      </c>
      <c r="E175" s="367" t="e">
        <f t="shared" si="61"/>
        <v>#REF!</v>
      </c>
      <c r="F175" s="367" t="e">
        <f t="shared" si="61"/>
        <v>#REF!</v>
      </c>
      <c r="G175" s="367" t="e">
        <f t="shared" si="61"/>
        <v>#REF!</v>
      </c>
      <c r="H175" s="367" t="e">
        <f t="shared" si="61"/>
        <v>#REF!</v>
      </c>
      <c r="I175" s="367" t="e">
        <f t="shared" si="61"/>
        <v>#REF!</v>
      </c>
    </row>
    <row r="176" spans="1:9" s="288" customFormat="1" ht="15.6" hidden="1" x14ac:dyDescent="0.3">
      <c r="B176" s="348"/>
      <c r="C176" s="348"/>
      <c r="D176" s="348"/>
      <c r="E176" s="348"/>
      <c r="F176" s="348"/>
      <c r="G176" s="348"/>
      <c r="H176" s="348"/>
      <c r="I176" s="348"/>
    </row>
    <row r="177" spans="1:9" s="288" customFormat="1" ht="15.6" hidden="1" x14ac:dyDescent="0.3">
      <c r="A177" s="354" t="s">
        <v>278</v>
      </c>
      <c r="B177" s="363"/>
      <c r="C177" s="363"/>
      <c r="D177" s="363"/>
      <c r="E177" s="363"/>
      <c r="F177" s="363"/>
      <c r="G177" s="363"/>
      <c r="H177" s="363"/>
      <c r="I177" s="363"/>
    </row>
    <row r="178" spans="1:9" s="288" customFormat="1" ht="15.6" hidden="1" x14ac:dyDescent="0.3">
      <c r="A178" s="304" t="s">
        <v>279</v>
      </c>
      <c r="B178" s="368" t="e">
        <f t="shared" ref="B178:I178" si="62">B162+B163+B169+B175</f>
        <v>#REF!</v>
      </c>
      <c r="C178" s="364" t="e">
        <f t="shared" si="62"/>
        <v>#REF!</v>
      </c>
      <c r="D178" s="364" t="e">
        <f t="shared" si="62"/>
        <v>#REF!</v>
      </c>
      <c r="E178" s="364" t="e">
        <f t="shared" si="62"/>
        <v>#REF!</v>
      </c>
      <c r="F178" s="364" t="e">
        <f t="shared" si="62"/>
        <v>#REF!</v>
      </c>
      <c r="G178" s="364" t="e">
        <f t="shared" si="62"/>
        <v>#REF!</v>
      </c>
      <c r="H178" s="364" t="e">
        <f t="shared" si="62"/>
        <v>#REF!</v>
      </c>
      <c r="I178" s="364" t="e">
        <f t="shared" si="62"/>
        <v>#REF!</v>
      </c>
    </row>
    <row r="179" spans="1:9" s="288" customFormat="1" ht="15.6" hidden="1" x14ac:dyDescent="0.3">
      <c r="A179" s="311" t="s">
        <v>280</v>
      </c>
      <c r="B179" s="369" t="e">
        <f t="shared" ref="B179:I179" si="63">B23+B29</f>
        <v>#REF!</v>
      </c>
      <c r="C179" s="358" t="e">
        <f t="shared" si="63"/>
        <v>#REF!</v>
      </c>
      <c r="D179" s="358" t="e">
        <f t="shared" si="63"/>
        <v>#REF!</v>
      </c>
      <c r="E179" s="358" t="e">
        <f t="shared" si="63"/>
        <v>#REF!</v>
      </c>
      <c r="F179" s="358" t="e">
        <f t="shared" si="63"/>
        <v>#REF!</v>
      </c>
      <c r="G179" s="358" t="e">
        <f t="shared" si="63"/>
        <v>#REF!</v>
      </c>
      <c r="H179" s="358" t="e">
        <f t="shared" si="63"/>
        <v>#REF!</v>
      </c>
      <c r="I179" s="358" t="e">
        <f t="shared" si="63"/>
        <v>#REF!</v>
      </c>
    </row>
    <row r="180" spans="1:9" s="288" customFormat="1" ht="15.6" hidden="1" x14ac:dyDescent="0.3">
      <c r="A180" s="370" t="s">
        <v>273</v>
      </c>
      <c r="B180" s="371" t="e">
        <f t="shared" ref="B180:I180" si="64">B178-B179</f>
        <v>#REF!</v>
      </c>
      <c r="C180" s="362" t="e">
        <f t="shared" si="64"/>
        <v>#REF!</v>
      </c>
      <c r="D180" s="362" t="e">
        <f t="shared" si="64"/>
        <v>#REF!</v>
      </c>
      <c r="E180" s="362" t="e">
        <f t="shared" si="64"/>
        <v>#REF!</v>
      </c>
      <c r="F180" s="362" t="e">
        <f t="shared" si="64"/>
        <v>#REF!</v>
      </c>
      <c r="G180" s="362" t="e">
        <f t="shared" si="64"/>
        <v>#REF!</v>
      </c>
      <c r="H180" s="362" t="e">
        <f t="shared" si="64"/>
        <v>#REF!</v>
      </c>
      <c r="I180" s="362" t="e">
        <f t="shared" si="64"/>
        <v>#REF!</v>
      </c>
    </row>
    <row r="181" spans="1:9" s="288" customFormat="1" ht="15.6" hidden="1" x14ac:dyDescent="0.3">
      <c r="B181" s="348"/>
      <c r="C181" s="348"/>
      <c r="D181" s="348"/>
      <c r="E181" s="348"/>
      <c r="F181" s="348"/>
      <c r="G181" s="348"/>
      <c r="H181" s="348"/>
      <c r="I181" s="348"/>
    </row>
    <row r="182" spans="1:9" s="288" customFormat="1" ht="15.6" hidden="1" x14ac:dyDescent="0.3">
      <c r="A182" s="354" t="s">
        <v>281</v>
      </c>
      <c r="B182" s="363"/>
      <c r="C182" s="363"/>
      <c r="D182" s="363"/>
      <c r="E182" s="363"/>
      <c r="F182" s="363"/>
      <c r="G182" s="363"/>
      <c r="H182" s="363"/>
      <c r="I182" s="363"/>
    </row>
    <row r="183" spans="1:9" s="288" customFormat="1" ht="15.6" hidden="1" x14ac:dyDescent="0.3">
      <c r="A183" s="304" t="s">
        <v>282</v>
      </c>
      <c r="B183" s="368" t="e">
        <f t="shared" ref="B183:I183" si="65">B162+B166+B172</f>
        <v>#REF!</v>
      </c>
      <c r="C183" s="364" t="e">
        <f t="shared" si="65"/>
        <v>#REF!</v>
      </c>
      <c r="D183" s="364" t="e">
        <f t="shared" si="65"/>
        <v>#REF!</v>
      </c>
      <c r="E183" s="364" t="e">
        <f t="shared" si="65"/>
        <v>#REF!</v>
      </c>
      <c r="F183" s="364" t="e">
        <f t="shared" si="65"/>
        <v>#REF!</v>
      </c>
      <c r="G183" s="364" t="e">
        <f t="shared" si="65"/>
        <v>#REF!</v>
      </c>
      <c r="H183" s="364" t="e">
        <f t="shared" si="65"/>
        <v>#REF!</v>
      </c>
      <c r="I183" s="364" t="e">
        <f t="shared" si="65"/>
        <v>#REF!</v>
      </c>
    </row>
    <row r="184" spans="1:9" s="288" customFormat="1" ht="15.6" hidden="1" x14ac:dyDescent="0.3">
      <c r="A184" s="311" t="s">
        <v>283</v>
      </c>
      <c r="B184" s="369" t="e">
        <f t="shared" ref="B184:I184" si="66">B20+B26</f>
        <v>#REF!</v>
      </c>
      <c r="C184" s="358" t="e">
        <f t="shared" si="66"/>
        <v>#REF!</v>
      </c>
      <c r="D184" s="358" t="e">
        <f t="shared" si="66"/>
        <v>#REF!</v>
      </c>
      <c r="E184" s="358" t="e">
        <f t="shared" si="66"/>
        <v>#REF!</v>
      </c>
      <c r="F184" s="358" t="e">
        <f t="shared" si="66"/>
        <v>#REF!</v>
      </c>
      <c r="G184" s="358" t="e">
        <f t="shared" si="66"/>
        <v>#REF!</v>
      </c>
      <c r="H184" s="358" t="e">
        <f t="shared" si="66"/>
        <v>#REF!</v>
      </c>
      <c r="I184" s="358" t="e">
        <f t="shared" si="66"/>
        <v>#REF!</v>
      </c>
    </row>
    <row r="185" spans="1:9" s="288" customFormat="1" ht="15.6" hidden="1" x14ac:dyDescent="0.3">
      <c r="A185" s="370" t="s">
        <v>273</v>
      </c>
      <c r="B185" s="371" t="e">
        <f t="shared" ref="B185:I185" si="67">B183-B184</f>
        <v>#REF!</v>
      </c>
      <c r="C185" s="362" t="e">
        <f t="shared" si="67"/>
        <v>#REF!</v>
      </c>
      <c r="D185" s="362" t="e">
        <f t="shared" si="67"/>
        <v>#REF!</v>
      </c>
      <c r="E185" s="362" t="e">
        <f t="shared" si="67"/>
        <v>#REF!</v>
      </c>
      <c r="F185" s="362" t="e">
        <f t="shared" si="67"/>
        <v>#REF!</v>
      </c>
      <c r="G185" s="362" t="e">
        <f t="shared" si="67"/>
        <v>#REF!</v>
      </c>
      <c r="H185" s="362" t="e">
        <f t="shared" si="67"/>
        <v>#REF!</v>
      </c>
      <c r="I185" s="362" t="e">
        <f t="shared" si="67"/>
        <v>#REF!</v>
      </c>
    </row>
    <row r="186" spans="1:9" s="288" customFormat="1" ht="15.6" hidden="1" x14ac:dyDescent="0.3">
      <c r="A186" s="372"/>
      <c r="B186" s="377" t="e">
        <f>IF(ROUND((B$185+B$190+B$195),0)=0,"OK","Not OK")</f>
        <v>#REF!</v>
      </c>
      <c r="C186" s="377" t="e">
        <f t="shared" ref="C186:I186" si="68">IF(ROUND((C$185+C$190+C$195),0)=0,"OK","Not OK")</f>
        <v>#REF!</v>
      </c>
      <c r="D186" s="377" t="e">
        <f t="shared" si="68"/>
        <v>#REF!</v>
      </c>
      <c r="E186" s="377" t="e">
        <f t="shared" si="68"/>
        <v>#REF!</v>
      </c>
      <c r="F186" s="377" t="e">
        <f t="shared" si="68"/>
        <v>#REF!</v>
      </c>
      <c r="G186" s="377" t="e">
        <f t="shared" si="68"/>
        <v>#REF!</v>
      </c>
      <c r="H186" s="377" t="e">
        <f t="shared" si="68"/>
        <v>#REF!</v>
      </c>
      <c r="I186" s="377" t="e">
        <f t="shared" si="68"/>
        <v>#REF!</v>
      </c>
    </row>
    <row r="187" spans="1:9" s="288" customFormat="1" ht="15.6" hidden="1" x14ac:dyDescent="0.3">
      <c r="A187" s="354" t="s">
        <v>284</v>
      </c>
      <c r="B187" s="363"/>
      <c r="C187" s="363"/>
      <c r="D187" s="363"/>
      <c r="E187" s="363"/>
      <c r="F187" s="363"/>
      <c r="G187" s="363"/>
      <c r="H187" s="363"/>
      <c r="I187" s="363"/>
    </row>
    <row r="188" spans="1:9" s="288" customFormat="1" ht="15.6" hidden="1" x14ac:dyDescent="0.3">
      <c r="A188" s="304" t="s">
        <v>282</v>
      </c>
      <c r="B188" s="368" t="e">
        <f t="shared" ref="B188:I188" si="69">B163+B167+B173</f>
        <v>#REF!</v>
      </c>
      <c r="C188" s="364" t="e">
        <f t="shared" si="69"/>
        <v>#REF!</v>
      </c>
      <c r="D188" s="364" t="e">
        <f t="shared" si="69"/>
        <v>#REF!</v>
      </c>
      <c r="E188" s="364" t="e">
        <f t="shared" si="69"/>
        <v>#REF!</v>
      </c>
      <c r="F188" s="364" t="e">
        <f t="shared" si="69"/>
        <v>#REF!</v>
      </c>
      <c r="G188" s="364" t="e">
        <f t="shared" si="69"/>
        <v>#REF!</v>
      </c>
      <c r="H188" s="364" t="e">
        <f t="shared" si="69"/>
        <v>#REF!</v>
      </c>
      <c r="I188" s="364" t="e">
        <f t="shared" si="69"/>
        <v>#REF!</v>
      </c>
    </row>
    <row r="189" spans="1:9" s="288" customFormat="1" ht="15.6" hidden="1" x14ac:dyDescent="0.3">
      <c r="A189" s="311" t="s">
        <v>283</v>
      </c>
      <c r="B189" s="369" t="e">
        <f t="shared" ref="B189:I189" si="70">B21+B27</f>
        <v>#REF!</v>
      </c>
      <c r="C189" s="358" t="e">
        <f t="shared" si="70"/>
        <v>#REF!</v>
      </c>
      <c r="D189" s="358" t="e">
        <f t="shared" si="70"/>
        <v>#REF!</v>
      </c>
      <c r="E189" s="358" t="e">
        <f t="shared" si="70"/>
        <v>#REF!</v>
      </c>
      <c r="F189" s="358" t="e">
        <f t="shared" si="70"/>
        <v>#REF!</v>
      </c>
      <c r="G189" s="358" t="e">
        <f t="shared" si="70"/>
        <v>#REF!</v>
      </c>
      <c r="H189" s="358" t="e">
        <f t="shared" si="70"/>
        <v>#REF!</v>
      </c>
      <c r="I189" s="358" t="e">
        <f t="shared" si="70"/>
        <v>#REF!</v>
      </c>
    </row>
    <row r="190" spans="1:9" s="288" customFormat="1" ht="15.6" hidden="1" x14ac:dyDescent="0.3">
      <c r="A190" s="370" t="s">
        <v>273</v>
      </c>
      <c r="B190" s="371" t="e">
        <f t="shared" ref="B190:I190" si="71">B188-B189</f>
        <v>#REF!</v>
      </c>
      <c r="C190" s="362" t="e">
        <f t="shared" si="71"/>
        <v>#REF!</v>
      </c>
      <c r="D190" s="362" t="e">
        <f t="shared" si="71"/>
        <v>#REF!</v>
      </c>
      <c r="E190" s="362" t="e">
        <f t="shared" si="71"/>
        <v>#REF!</v>
      </c>
      <c r="F190" s="362" t="e">
        <f t="shared" si="71"/>
        <v>#REF!</v>
      </c>
      <c r="G190" s="362" t="e">
        <f t="shared" si="71"/>
        <v>#REF!</v>
      </c>
      <c r="H190" s="362" t="e">
        <f t="shared" si="71"/>
        <v>#REF!</v>
      </c>
      <c r="I190" s="362" t="e">
        <f t="shared" si="71"/>
        <v>#REF!</v>
      </c>
    </row>
    <row r="191" spans="1:9" s="288" customFormat="1" ht="15.6" hidden="1" x14ac:dyDescent="0.3">
      <c r="B191" s="377" t="e">
        <f t="shared" ref="B191:I191" si="72">IF(ROUND((B$185+B$190+B$195),0)=0,"OK","Not OK")</f>
        <v>#REF!</v>
      </c>
      <c r="C191" s="377" t="e">
        <f t="shared" si="72"/>
        <v>#REF!</v>
      </c>
      <c r="D191" s="377" t="e">
        <f t="shared" si="72"/>
        <v>#REF!</v>
      </c>
      <c r="E191" s="377" t="e">
        <f t="shared" si="72"/>
        <v>#REF!</v>
      </c>
      <c r="F191" s="377" t="e">
        <f t="shared" si="72"/>
        <v>#REF!</v>
      </c>
      <c r="G191" s="377" t="e">
        <f t="shared" si="72"/>
        <v>#REF!</v>
      </c>
      <c r="H191" s="377" t="e">
        <f t="shared" si="72"/>
        <v>#REF!</v>
      </c>
      <c r="I191" s="377" t="e">
        <f t="shared" si="72"/>
        <v>#REF!</v>
      </c>
    </row>
    <row r="192" spans="1:9" s="288" customFormat="1" ht="15.6" hidden="1" x14ac:dyDescent="0.3">
      <c r="A192" s="354" t="s">
        <v>285</v>
      </c>
      <c r="B192" s="363"/>
      <c r="C192" s="363"/>
      <c r="D192" s="363"/>
      <c r="E192" s="363"/>
      <c r="F192" s="363"/>
      <c r="G192" s="363"/>
      <c r="H192" s="363"/>
      <c r="I192" s="363"/>
    </row>
    <row r="193" spans="1:9" s="288" customFormat="1" ht="15.6" hidden="1" x14ac:dyDescent="0.3">
      <c r="A193" s="304" t="s">
        <v>282</v>
      </c>
      <c r="B193" s="368" t="e">
        <f t="shared" ref="B193:I193" si="73">B168+B174</f>
        <v>#REF!</v>
      </c>
      <c r="C193" s="364" t="e">
        <f t="shared" si="73"/>
        <v>#REF!</v>
      </c>
      <c r="D193" s="364" t="e">
        <f t="shared" si="73"/>
        <v>#REF!</v>
      </c>
      <c r="E193" s="364" t="e">
        <f t="shared" si="73"/>
        <v>#REF!</v>
      </c>
      <c r="F193" s="364" t="e">
        <f t="shared" si="73"/>
        <v>#REF!</v>
      </c>
      <c r="G193" s="364" t="e">
        <f t="shared" si="73"/>
        <v>#REF!</v>
      </c>
      <c r="H193" s="364" t="e">
        <f t="shared" si="73"/>
        <v>#REF!</v>
      </c>
      <c r="I193" s="364" t="e">
        <f t="shared" si="73"/>
        <v>#REF!</v>
      </c>
    </row>
    <row r="194" spans="1:9" s="288" customFormat="1" ht="15.6" hidden="1" x14ac:dyDescent="0.3">
      <c r="A194" s="311" t="s">
        <v>283</v>
      </c>
      <c r="B194" s="369" t="e">
        <f t="shared" ref="B194:I194" si="74">B22+B28</f>
        <v>#REF!</v>
      </c>
      <c r="C194" s="358" t="e">
        <f t="shared" si="74"/>
        <v>#REF!</v>
      </c>
      <c r="D194" s="358" t="e">
        <f t="shared" si="74"/>
        <v>#REF!</v>
      </c>
      <c r="E194" s="358" t="e">
        <f t="shared" si="74"/>
        <v>#REF!</v>
      </c>
      <c r="F194" s="358" t="e">
        <f t="shared" si="74"/>
        <v>#REF!</v>
      </c>
      <c r="G194" s="358" t="e">
        <f t="shared" si="74"/>
        <v>#REF!</v>
      </c>
      <c r="H194" s="358" t="e">
        <f t="shared" si="74"/>
        <v>#REF!</v>
      </c>
      <c r="I194" s="358" t="e">
        <f t="shared" si="74"/>
        <v>#REF!</v>
      </c>
    </row>
    <row r="195" spans="1:9" s="288" customFormat="1" ht="15.6" hidden="1" x14ac:dyDescent="0.3">
      <c r="A195" s="370" t="s">
        <v>273</v>
      </c>
      <c r="B195" s="371" t="e">
        <f t="shared" ref="B195:I195" si="75">B193-B194</f>
        <v>#REF!</v>
      </c>
      <c r="C195" s="362" t="e">
        <f t="shared" si="75"/>
        <v>#REF!</v>
      </c>
      <c r="D195" s="362" t="e">
        <f t="shared" si="75"/>
        <v>#REF!</v>
      </c>
      <c r="E195" s="362" t="e">
        <f t="shared" si="75"/>
        <v>#REF!</v>
      </c>
      <c r="F195" s="362" t="e">
        <f t="shared" si="75"/>
        <v>#REF!</v>
      </c>
      <c r="G195" s="362" t="e">
        <f t="shared" si="75"/>
        <v>#REF!</v>
      </c>
      <c r="H195" s="362" t="e">
        <f t="shared" si="75"/>
        <v>#REF!</v>
      </c>
      <c r="I195" s="362" t="e">
        <f t="shared" si="75"/>
        <v>#REF!</v>
      </c>
    </row>
    <row r="196" spans="1:9" s="288" customFormat="1" ht="15.6" hidden="1" x14ac:dyDescent="0.3">
      <c r="B196" s="377" t="e">
        <f t="shared" ref="B196:I196" si="76">IF(ROUND((B$185+B$190+B$195),0)=0,"OK","Not OK")</f>
        <v>#REF!</v>
      </c>
      <c r="C196" s="377" t="e">
        <f t="shared" si="76"/>
        <v>#REF!</v>
      </c>
      <c r="D196" s="377" t="e">
        <f t="shared" si="76"/>
        <v>#REF!</v>
      </c>
      <c r="E196" s="377" t="e">
        <f t="shared" si="76"/>
        <v>#REF!</v>
      </c>
      <c r="F196" s="377" t="e">
        <f t="shared" si="76"/>
        <v>#REF!</v>
      </c>
      <c r="G196" s="377" t="e">
        <f t="shared" si="76"/>
        <v>#REF!</v>
      </c>
      <c r="H196" s="377" t="e">
        <f t="shared" si="76"/>
        <v>#REF!</v>
      </c>
      <c r="I196" s="377" t="e">
        <f t="shared" si="76"/>
        <v>#REF!</v>
      </c>
    </row>
    <row r="197" spans="1:9" s="288" customFormat="1" ht="15.6" hidden="1" x14ac:dyDescent="0.3">
      <c r="A197" s="354" t="s">
        <v>286</v>
      </c>
      <c r="B197" s="363"/>
      <c r="C197" s="363"/>
      <c r="D197" s="363"/>
      <c r="E197" s="363"/>
      <c r="F197" s="363"/>
      <c r="G197" s="363"/>
      <c r="H197" s="363"/>
      <c r="I197" s="363"/>
    </row>
    <row r="198" spans="1:9" s="288" customFormat="1" ht="15.6" hidden="1" x14ac:dyDescent="0.3">
      <c r="A198" s="357" t="s">
        <v>268</v>
      </c>
      <c r="B198" s="368" t="e">
        <f t="shared" ref="B198:I199" si="77">B59*20*$B128</f>
        <v>#REF!</v>
      </c>
      <c r="C198" s="364" t="e">
        <f t="shared" si="77"/>
        <v>#REF!</v>
      </c>
      <c r="D198" s="364" t="e">
        <f t="shared" si="77"/>
        <v>#REF!</v>
      </c>
      <c r="E198" s="364" t="e">
        <f t="shared" si="77"/>
        <v>#REF!</v>
      </c>
      <c r="F198" s="364" t="e">
        <f t="shared" si="77"/>
        <v>#REF!</v>
      </c>
      <c r="G198" s="364" t="e">
        <f t="shared" si="77"/>
        <v>#REF!</v>
      </c>
      <c r="H198" s="364" t="e">
        <f t="shared" si="77"/>
        <v>#REF!</v>
      </c>
      <c r="I198" s="364" t="e">
        <f t="shared" si="77"/>
        <v>#REF!</v>
      </c>
    </row>
    <row r="199" spans="1:9" s="288" customFormat="1" ht="15.6" hidden="1" x14ac:dyDescent="0.3">
      <c r="A199" s="357" t="s">
        <v>269</v>
      </c>
      <c r="B199" s="369" t="e">
        <f t="shared" si="77"/>
        <v>#REF!</v>
      </c>
      <c r="C199" s="358" t="e">
        <f t="shared" si="77"/>
        <v>#REF!</v>
      </c>
      <c r="D199" s="358" t="e">
        <f t="shared" si="77"/>
        <v>#REF!</v>
      </c>
      <c r="E199" s="358" t="e">
        <f t="shared" si="77"/>
        <v>#REF!</v>
      </c>
      <c r="F199" s="358" t="e">
        <f t="shared" si="77"/>
        <v>#REF!</v>
      </c>
      <c r="G199" s="358" t="e">
        <f t="shared" si="77"/>
        <v>#REF!</v>
      </c>
      <c r="H199" s="358" t="e">
        <f t="shared" si="77"/>
        <v>#REF!</v>
      </c>
      <c r="I199" s="358" t="e">
        <f t="shared" si="77"/>
        <v>#REF!</v>
      </c>
    </row>
    <row r="200" spans="1:9" s="288" customFormat="1" ht="15.6" hidden="1" x14ac:dyDescent="0.3">
      <c r="A200" s="357" t="s">
        <v>270</v>
      </c>
      <c r="B200" s="358" t="e">
        <f>IF(B199=0,(B61-B51)*20*($B129+$B130),(B61-B51)*20*$B130)</f>
        <v>#REF!</v>
      </c>
      <c r="C200" s="358" t="e">
        <f>IF(C199=0,(C61-C51)*20*($B129+$B130),(C61-C51)*20*$B130)</f>
        <v>#REF!</v>
      </c>
      <c r="D200" s="358" t="e">
        <f t="shared" ref="D200:I200" si="78">IF(D199=0,(D61-D51)*20*($B129+$B130),(D61-D51)*20*$B130)</f>
        <v>#REF!</v>
      </c>
      <c r="E200" s="358" t="e">
        <f t="shared" si="78"/>
        <v>#REF!</v>
      </c>
      <c r="F200" s="358" t="e">
        <f t="shared" si="78"/>
        <v>#REF!</v>
      </c>
      <c r="G200" s="358" t="e">
        <f t="shared" si="78"/>
        <v>#REF!</v>
      </c>
      <c r="H200" s="358" t="e">
        <f t="shared" si="78"/>
        <v>#REF!</v>
      </c>
      <c r="I200" s="358" t="e">
        <f t="shared" si="78"/>
        <v>#REF!</v>
      </c>
    </row>
    <row r="201" spans="1:9" s="288" customFormat="1" ht="15.6" hidden="1" x14ac:dyDescent="0.3">
      <c r="A201" s="359" t="s">
        <v>6</v>
      </c>
      <c r="B201" s="373" t="e">
        <f t="shared" ref="B201:I201" si="79">SUM(B198:B200)</f>
        <v>#REF!</v>
      </c>
      <c r="C201" s="360" t="e">
        <f t="shared" si="79"/>
        <v>#REF!</v>
      </c>
      <c r="D201" s="360" t="e">
        <f t="shared" si="79"/>
        <v>#REF!</v>
      </c>
      <c r="E201" s="360" t="e">
        <f t="shared" si="79"/>
        <v>#REF!</v>
      </c>
      <c r="F201" s="360" t="e">
        <f t="shared" si="79"/>
        <v>#REF!</v>
      </c>
      <c r="G201" s="360" t="e">
        <f t="shared" si="79"/>
        <v>#REF!</v>
      </c>
      <c r="H201" s="360" t="e">
        <f t="shared" si="79"/>
        <v>#REF!</v>
      </c>
      <c r="I201" s="360" t="e">
        <f t="shared" si="79"/>
        <v>#REF!</v>
      </c>
    </row>
    <row r="202" spans="1:9" s="288" customFormat="1" ht="15.6" hidden="1" x14ac:dyDescent="0.3">
      <c r="A202" s="357" t="s">
        <v>187</v>
      </c>
      <c r="B202" s="358">
        <f>B13*20</f>
        <v>0</v>
      </c>
      <c r="C202" s="358">
        <f t="shared" ref="C202:I202" si="80">C13*20</f>
        <v>0</v>
      </c>
      <c r="D202" s="358">
        <f t="shared" si="80"/>
        <v>0</v>
      </c>
      <c r="E202" s="358">
        <f t="shared" si="80"/>
        <v>0</v>
      </c>
      <c r="F202" s="358">
        <f t="shared" si="80"/>
        <v>0</v>
      </c>
      <c r="G202" s="358">
        <f t="shared" si="80"/>
        <v>0</v>
      </c>
      <c r="H202" s="358">
        <f t="shared" si="80"/>
        <v>17666000</v>
      </c>
      <c r="I202" s="358">
        <f t="shared" si="80"/>
        <v>17666000</v>
      </c>
    </row>
    <row r="203" spans="1:9" s="288" customFormat="1" ht="15.6" hidden="1" x14ac:dyDescent="0.3">
      <c r="A203" s="359" t="s">
        <v>271</v>
      </c>
      <c r="B203" s="360" t="e">
        <f>SUM(B201:B202)</f>
        <v>#REF!</v>
      </c>
      <c r="C203" s="360" t="e">
        <f t="shared" ref="C203:I203" si="81">SUM(C201:C202)</f>
        <v>#REF!</v>
      </c>
      <c r="D203" s="360" t="e">
        <f t="shared" si="81"/>
        <v>#REF!</v>
      </c>
      <c r="E203" s="360" t="e">
        <f t="shared" si="81"/>
        <v>#REF!</v>
      </c>
      <c r="F203" s="360" t="e">
        <f t="shared" si="81"/>
        <v>#REF!</v>
      </c>
      <c r="G203" s="360" t="e">
        <f t="shared" si="81"/>
        <v>#REF!</v>
      </c>
      <c r="H203" s="360" t="e">
        <f t="shared" si="81"/>
        <v>#REF!</v>
      </c>
      <c r="I203" s="360" t="e">
        <f t="shared" si="81"/>
        <v>#REF!</v>
      </c>
    </row>
    <row r="204" spans="1:9" s="288" customFormat="1" ht="15.6" hidden="1" x14ac:dyDescent="0.3">
      <c r="A204" s="357"/>
      <c r="B204" s="369"/>
      <c r="C204" s="358"/>
      <c r="D204" s="358"/>
      <c r="E204" s="358"/>
      <c r="F204" s="358"/>
      <c r="G204" s="358"/>
      <c r="H204" s="358"/>
      <c r="I204" s="358"/>
    </row>
    <row r="205" spans="1:9" s="288" customFormat="1" ht="15.6" hidden="1" x14ac:dyDescent="0.3">
      <c r="A205" s="357" t="s">
        <v>287</v>
      </c>
      <c r="B205" s="369" t="e">
        <f t="shared" ref="B205:I205" si="82">B23+B29+(B35*20)</f>
        <v>#REF!</v>
      </c>
      <c r="C205" s="358" t="e">
        <f t="shared" si="82"/>
        <v>#REF!</v>
      </c>
      <c r="D205" s="358" t="e">
        <f t="shared" si="82"/>
        <v>#REF!</v>
      </c>
      <c r="E205" s="358" t="e">
        <f t="shared" si="82"/>
        <v>#REF!</v>
      </c>
      <c r="F205" s="358" t="e">
        <f t="shared" si="82"/>
        <v>#REF!</v>
      </c>
      <c r="G205" s="358" t="e">
        <f t="shared" si="82"/>
        <v>#REF!</v>
      </c>
      <c r="H205" s="358" t="e">
        <f t="shared" si="82"/>
        <v>#REF!</v>
      </c>
      <c r="I205" s="358" t="e">
        <f t="shared" si="82"/>
        <v>#REF!</v>
      </c>
    </row>
    <row r="206" spans="1:9" s="288" customFormat="1" ht="15.6" hidden="1" x14ac:dyDescent="0.3">
      <c r="A206" s="361" t="s">
        <v>273</v>
      </c>
      <c r="B206" s="371" t="e">
        <f>B203-B205</f>
        <v>#REF!</v>
      </c>
      <c r="C206" s="371" t="e">
        <f t="shared" ref="C206:I206" si="83">C203-C205</f>
        <v>#REF!</v>
      </c>
      <c r="D206" s="371" t="e">
        <f t="shared" si="83"/>
        <v>#REF!</v>
      </c>
      <c r="E206" s="371" t="e">
        <f t="shared" si="83"/>
        <v>#REF!</v>
      </c>
      <c r="F206" s="371" t="e">
        <f t="shared" si="83"/>
        <v>#REF!</v>
      </c>
      <c r="G206" s="371" t="e">
        <f t="shared" si="83"/>
        <v>#REF!</v>
      </c>
      <c r="H206" s="371" t="e">
        <f t="shared" si="83"/>
        <v>#REF!</v>
      </c>
      <c r="I206" s="371" t="e">
        <f t="shared" si="83"/>
        <v>#REF!</v>
      </c>
    </row>
    <row r="207" spans="1:9" s="288" customFormat="1" ht="15.6" hidden="1" x14ac:dyDescent="0.3">
      <c r="B207" s="348"/>
      <c r="C207" s="348"/>
      <c r="D207" s="348"/>
      <c r="E207" s="348"/>
      <c r="F207" s="348"/>
      <c r="G207" s="348"/>
      <c r="H207" s="348"/>
      <c r="I207" s="348"/>
    </row>
    <row r="208" spans="1:9" s="288" customFormat="1" ht="15.6" hidden="1" x14ac:dyDescent="0.3">
      <c r="A208" s="354" t="s">
        <v>288</v>
      </c>
      <c r="B208" s="363"/>
      <c r="C208" s="363"/>
      <c r="D208" s="363"/>
      <c r="E208" s="363"/>
      <c r="F208" s="363"/>
      <c r="G208" s="363"/>
      <c r="H208" s="363"/>
      <c r="I208" s="363"/>
    </row>
    <row r="209" spans="1:9" s="288" customFormat="1" ht="15.6" hidden="1" x14ac:dyDescent="0.3">
      <c r="A209" s="357" t="s">
        <v>268</v>
      </c>
      <c r="B209" s="368" t="e">
        <f t="shared" ref="B209:I210" si="84">B59*20*$B128</f>
        <v>#REF!</v>
      </c>
      <c r="C209" s="364" t="e">
        <f t="shared" si="84"/>
        <v>#REF!</v>
      </c>
      <c r="D209" s="364" t="e">
        <f t="shared" si="84"/>
        <v>#REF!</v>
      </c>
      <c r="E209" s="364" t="e">
        <f t="shared" si="84"/>
        <v>#REF!</v>
      </c>
      <c r="F209" s="364" t="e">
        <f t="shared" si="84"/>
        <v>#REF!</v>
      </c>
      <c r="G209" s="364" t="e">
        <f t="shared" si="84"/>
        <v>#REF!</v>
      </c>
      <c r="H209" s="364" t="e">
        <f t="shared" si="84"/>
        <v>#REF!</v>
      </c>
      <c r="I209" s="364" t="e">
        <f t="shared" si="84"/>
        <v>#REF!</v>
      </c>
    </row>
    <row r="210" spans="1:9" s="288" customFormat="1" ht="15.6" hidden="1" x14ac:dyDescent="0.3">
      <c r="A210" s="357" t="s">
        <v>269</v>
      </c>
      <c r="B210" s="369" t="e">
        <f t="shared" si="84"/>
        <v>#REF!</v>
      </c>
      <c r="C210" s="358" t="e">
        <f t="shared" si="84"/>
        <v>#REF!</v>
      </c>
      <c r="D210" s="358" t="e">
        <f t="shared" si="84"/>
        <v>#REF!</v>
      </c>
      <c r="E210" s="358" t="e">
        <f t="shared" si="84"/>
        <v>#REF!</v>
      </c>
      <c r="F210" s="358" t="e">
        <f t="shared" si="84"/>
        <v>#REF!</v>
      </c>
      <c r="G210" s="358" t="e">
        <f t="shared" si="84"/>
        <v>#REF!</v>
      </c>
      <c r="H210" s="358" t="e">
        <f t="shared" si="84"/>
        <v>#REF!</v>
      </c>
      <c r="I210" s="358" t="e">
        <f t="shared" si="84"/>
        <v>#REF!</v>
      </c>
    </row>
    <row r="211" spans="1:9" s="288" customFormat="1" ht="15.6" hidden="1" x14ac:dyDescent="0.3">
      <c r="A211" s="357" t="s">
        <v>270</v>
      </c>
      <c r="B211" s="358" t="e">
        <f t="shared" ref="B211:I211" si="85">IF(B210=0,B61*20*($B129+$B130),B61*20*$B130)</f>
        <v>#REF!</v>
      </c>
      <c r="C211" s="358" t="e">
        <f t="shared" si="85"/>
        <v>#REF!</v>
      </c>
      <c r="D211" s="358" t="e">
        <f t="shared" si="85"/>
        <v>#REF!</v>
      </c>
      <c r="E211" s="358" t="e">
        <f t="shared" si="85"/>
        <v>#REF!</v>
      </c>
      <c r="F211" s="358" t="e">
        <f t="shared" si="85"/>
        <v>#REF!</v>
      </c>
      <c r="G211" s="358" t="e">
        <f t="shared" si="85"/>
        <v>#REF!</v>
      </c>
      <c r="H211" s="358" t="e">
        <f t="shared" si="85"/>
        <v>#REF!</v>
      </c>
      <c r="I211" s="358" t="e">
        <f t="shared" si="85"/>
        <v>#REF!</v>
      </c>
    </row>
    <row r="212" spans="1:9" s="288" customFormat="1" ht="15.6" hidden="1" x14ac:dyDescent="0.3">
      <c r="A212" s="359" t="s">
        <v>6</v>
      </c>
      <c r="B212" s="373" t="e">
        <f t="shared" ref="B212:I212" si="86">SUM(B209:B211)</f>
        <v>#REF!</v>
      </c>
      <c r="C212" s="360" t="e">
        <f t="shared" si="86"/>
        <v>#REF!</v>
      </c>
      <c r="D212" s="360" t="e">
        <f t="shared" si="86"/>
        <v>#REF!</v>
      </c>
      <c r="E212" s="360" t="e">
        <f t="shared" si="86"/>
        <v>#REF!</v>
      </c>
      <c r="F212" s="360" t="e">
        <f t="shared" si="86"/>
        <v>#REF!</v>
      </c>
      <c r="G212" s="360" t="e">
        <f t="shared" si="86"/>
        <v>#REF!</v>
      </c>
      <c r="H212" s="360" t="e">
        <f t="shared" si="86"/>
        <v>#REF!</v>
      </c>
      <c r="I212" s="360" t="e">
        <f t="shared" si="86"/>
        <v>#REF!</v>
      </c>
    </row>
    <row r="213" spans="1:9" s="288" customFormat="1" ht="15.6" hidden="1" x14ac:dyDescent="0.3">
      <c r="A213" s="359"/>
      <c r="B213" s="373"/>
      <c r="C213" s="360"/>
      <c r="D213" s="360"/>
      <c r="E213" s="360"/>
      <c r="F213" s="360"/>
      <c r="G213" s="360"/>
      <c r="H213" s="360"/>
      <c r="I213" s="360"/>
    </row>
    <row r="214" spans="1:9" s="288" customFormat="1" ht="15.6" hidden="1" x14ac:dyDescent="0.3">
      <c r="A214" s="357" t="s">
        <v>289</v>
      </c>
      <c r="B214" s="374">
        <f t="shared" ref="B214:I214" si="87">$B132</f>
        <v>5933</v>
      </c>
      <c r="C214" s="375">
        <f t="shared" si="87"/>
        <v>5933</v>
      </c>
      <c r="D214" s="375">
        <f t="shared" si="87"/>
        <v>5933</v>
      </c>
      <c r="E214" s="375">
        <f t="shared" si="87"/>
        <v>5933</v>
      </c>
      <c r="F214" s="375">
        <f t="shared" si="87"/>
        <v>5933</v>
      </c>
      <c r="G214" s="375">
        <f t="shared" si="87"/>
        <v>5933</v>
      </c>
      <c r="H214" s="375">
        <f t="shared" si="87"/>
        <v>5933</v>
      </c>
      <c r="I214" s="375">
        <f t="shared" si="87"/>
        <v>5933</v>
      </c>
    </row>
    <row r="215" spans="1:9" s="288" customFormat="1" ht="15.6" hidden="1" x14ac:dyDescent="0.3">
      <c r="A215" s="357" t="s">
        <v>290</v>
      </c>
      <c r="B215" s="369" t="e">
        <f t="shared" ref="B215:I215" si="88">B212/B214/20</f>
        <v>#REF!</v>
      </c>
      <c r="C215" s="358" t="e">
        <f t="shared" si="88"/>
        <v>#REF!</v>
      </c>
      <c r="D215" s="358" t="e">
        <f t="shared" si="88"/>
        <v>#REF!</v>
      </c>
      <c r="E215" s="358" t="e">
        <f t="shared" si="88"/>
        <v>#REF!</v>
      </c>
      <c r="F215" s="358" t="e">
        <f t="shared" si="88"/>
        <v>#REF!</v>
      </c>
      <c r="G215" s="358" t="e">
        <f t="shared" si="88"/>
        <v>#REF!</v>
      </c>
      <c r="H215" s="358" t="e">
        <f t="shared" si="88"/>
        <v>#REF!</v>
      </c>
      <c r="I215" s="358" t="e">
        <f t="shared" si="88"/>
        <v>#REF!</v>
      </c>
    </row>
    <row r="216" spans="1:9" s="288" customFormat="1" ht="15.6" hidden="1" x14ac:dyDescent="0.3">
      <c r="A216" s="357" t="s">
        <v>291</v>
      </c>
      <c r="B216" s="369" t="e">
        <f t="shared" ref="B216:I216" si="89">B65</f>
        <v>#REF!</v>
      </c>
      <c r="C216" s="358" t="e">
        <f t="shared" si="89"/>
        <v>#REF!</v>
      </c>
      <c r="D216" s="358" t="e">
        <f t="shared" si="89"/>
        <v>#REF!</v>
      </c>
      <c r="E216" s="358" t="e">
        <f t="shared" si="89"/>
        <v>#REF!</v>
      </c>
      <c r="F216" s="358" t="e">
        <f t="shared" si="89"/>
        <v>#REF!</v>
      </c>
      <c r="G216" s="358" t="e">
        <f t="shared" si="89"/>
        <v>#REF!</v>
      </c>
      <c r="H216" s="358" t="e">
        <f t="shared" si="89"/>
        <v>#REF!</v>
      </c>
      <c r="I216" s="358" t="e">
        <f t="shared" si="89"/>
        <v>#REF!</v>
      </c>
    </row>
    <row r="217" spans="1:9" s="288" customFormat="1" ht="15.6" hidden="1" x14ac:dyDescent="0.3">
      <c r="A217" s="361" t="s">
        <v>273</v>
      </c>
      <c r="B217" s="371" t="e">
        <f t="shared" ref="B217:I217" si="90">B215-B216</f>
        <v>#REF!</v>
      </c>
      <c r="C217" s="362" t="e">
        <f t="shared" si="90"/>
        <v>#REF!</v>
      </c>
      <c r="D217" s="362" t="e">
        <f t="shared" si="90"/>
        <v>#REF!</v>
      </c>
      <c r="E217" s="362" t="e">
        <f t="shared" si="90"/>
        <v>#REF!</v>
      </c>
      <c r="F217" s="362" t="e">
        <f t="shared" si="90"/>
        <v>#REF!</v>
      </c>
      <c r="G217" s="362" t="e">
        <f t="shared" si="90"/>
        <v>#REF!</v>
      </c>
      <c r="H217" s="362" t="e">
        <f t="shared" si="90"/>
        <v>#REF!</v>
      </c>
      <c r="I217" s="362" t="e">
        <f t="shared" si="90"/>
        <v>#REF!</v>
      </c>
    </row>
    <row r="218" spans="1:9" s="288" customFormat="1" ht="15.6" hidden="1" x14ac:dyDescent="0.3">
      <c r="B218" s="376" t="e">
        <f>IF(AND(B77=0,B158=0,B86=0,B113=0,OR(B180=0,B181="OK"),OR(B185=0,B186="OK"),OR(B190=0,B191="OK"),OR(B195=0,B196="OK"),B206=0,B217=0),"OK","Not OK")</f>
        <v>#REF!</v>
      </c>
      <c r="C218" s="376" t="e">
        <f t="shared" ref="C218:I218" si="91">IF(AND(C77=0,C158=0,C86=0,C113=0,OR(C180=0,C181="OK"),OR(C185=0,C186="OK"),OR(C190=0,C191="OK"),OR(C195=0,C196="OK"),C206=0,C217=0),"OK","Not OK")</f>
        <v>#REF!</v>
      </c>
      <c r="D218" s="376" t="e">
        <f t="shared" si="91"/>
        <v>#REF!</v>
      </c>
      <c r="E218" s="376" t="e">
        <f t="shared" si="91"/>
        <v>#REF!</v>
      </c>
      <c r="F218" s="376" t="e">
        <f t="shared" si="91"/>
        <v>#REF!</v>
      </c>
      <c r="G218" s="376" t="e">
        <f t="shared" si="91"/>
        <v>#REF!</v>
      </c>
      <c r="H218" s="376" t="e">
        <f t="shared" si="91"/>
        <v>#REF!</v>
      </c>
      <c r="I218" s="376" t="e">
        <f t="shared" si="91"/>
        <v>#REF!</v>
      </c>
    </row>
  </sheetData>
  <mergeCells count="10">
    <mergeCell ref="A141:B141"/>
    <mergeCell ref="E127:F127"/>
    <mergeCell ref="A135:B135"/>
    <mergeCell ref="E136:F136"/>
    <mergeCell ref="A1:I1"/>
    <mergeCell ref="A2:I2"/>
    <mergeCell ref="A3:I3"/>
    <mergeCell ref="A4:I4"/>
    <mergeCell ref="B6:I6"/>
    <mergeCell ref="A125:G125"/>
  </mergeCells>
  <conditionalFormatting sqref="B218">
    <cfRule type="cellIs" dxfId="3" priority="3" operator="equal">
      <formula>"OK"</formula>
    </cfRule>
    <cfRule type="cellIs" dxfId="2" priority="4" operator="equal">
      <formula>"Not OK"</formula>
    </cfRule>
  </conditionalFormatting>
  <conditionalFormatting sqref="C218:I218">
    <cfRule type="cellIs" dxfId="1" priority="1" operator="equal">
      <formula>"OK"</formula>
    </cfRule>
    <cfRule type="cellIs" dxfId="0" priority="2" operator="equal">
      <formula>"Not OK"</formula>
    </cfRule>
  </conditionalFormatting>
  <dataValidations count="1">
    <dataValidation type="list" allowBlank="1" showInputMessage="1" showErrorMessage="1" sqref="F137">
      <formula1>"2% above borrowing %, 5%"</formula1>
    </dataValidation>
  </dataValidations>
  <pageMargins left="0.25" right="0.25" top="0.75" bottom="0.75" header="0.3" footer="0.3"/>
  <pageSetup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76129" r:id="rId4" name="Button 1">
              <controlPr defaultSize="0" print="0" autoFill="0" autoPict="0" macro="[0]!CreateGraphsOutputCases">
                <anchor moveWithCells="1">
                  <from>
                    <xdr:col>7</xdr:col>
                    <xdr:colOff>411480</xdr:colOff>
                    <xdr:row>67</xdr:row>
                    <xdr:rowOff>0</xdr:rowOff>
                  </from>
                  <to>
                    <xdr:col>8</xdr:col>
                    <xdr:colOff>762000</xdr:colOff>
                    <xdr:row>125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Q137"/>
  <sheetViews>
    <sheetView showGridLines="0" zoomScale="85" zoomScaleNormal="85" workbookViewId="0">
      <selection activeCell="J136" sqref="J136"/>
    </sheetView>
  </sheetViews>
  <sheetFormatPr defaultRowHeight="14.4" x14ac:dyDescent="0.3"/>
  <cols>
    <col min="1" max="1" width="1.36328125" style="8" customWidth="1"/>
    <col min="2" max="2" width="11.54296875" style="8" customWidth="1"/>
    <col min="3" max="3" width="10.54296875" style="8" customWidth="1"/>
    <col min="4" max="4" width="12" style="8" customWidth="1"/>
    <col min="5" max="5" width="28" style="8" customWidth="1"/>
    <col min="6" max="6" width="10.08984375" style="8" customWidth="1"/>
    <col min="7" max="7" width="3" style="8" customWidth="1"/>
    <col min="8" max="8" width="5.6328125" style="8" customWidth="1"/>
    <col min="9" max="9" width="3.1796875" style="8" customWidth="1"/>
    <col min="10" max="10" width="10.36328125" style="8" customWidth="1"/>
    <col min="11" max="11" width="8.453125" style="8" hidden="1" customWidth="1"/>
    <col min="12" max="12" width="11.6328125" style="8" hidden="1" customWidth="1"/>
    <col min="13" max="13" width="10.54296875" style="8" customWidth="1"/>
    <col min="14" max="14" width="11.453125" style="8" customWidth="1"/>
    <col min="15" max="15" width="0.90625" style="8" customWidth="1"/>
    <col min="16" max="16" width="8.90625" style="8"/>
    <col min="17" max="17" width="8.36328125" style="8" bestFit="1" customWidth="1"/>
    <col min="18" max="256" width="8.90625" style="8"/>
    <col min="257" max="257" width="1.36328125" style="8" customWidth="1"/>
    <col min="258" max="258" width="11.54296875" style="8" customWidth="1"/>
    <col min="259" max="259" width="10.54296875" style="8" customWidth="1"/>
    <col min="260" max="260" width="12" style="8" customWidth="1"/>
    <col min="261" max="261" width="28" style="8" customWidth="1"/>
    <col min="262" max="262" width="8.81640625" style="8" customWidth="1"/>
    <col min="263" max="263" width="3" style="8" customWidth="1"/>
    <col min="264" max="264" width="5.6328125" style="8" customWidth="1"/>
    <col min="265" max="265" width="3.1796875" style="8" customWidth="1"/>
    <col min="266" max="266" width="9.81640625" style="8" bestFit="1" customWidth="1"/>
    <col min="267" max="268" width="0" style="8" hidden="1" customWidth="1"/>
    <col min="269" max="269" width="10.54296875" style="8" customWidth="1"/>
    <col min="270" max="270" width="11.453125" style="8" customWidth="1"/>
    <col min="271" max="271" width="0.90625" style="8" customWidth="1"/>
    <col min="272" max="272" width="8.90625" style="8"/>
    <col min="273" max="273" width="8.36328125" style="8" bestFit="1" customWidth="1"/>
    <col min="274" max="512" width="8.90625" style="8"/>
    <col min="513" max="513" width="1.36328125" style="8" customWidth="1"/>
    <col min="514" max="514" width="11.54296875" style="8" customWidth="1"/>
    <col min="515" max="515" width="10.54296875" style="8" customWidth="1"/>
    <col min="516" max="516" width="12" style="8" customWidth="1"/>
    <col min="517" max="517" width="28" style="8" customWidth="1"/>
    <col min="518" max="518" width="8.81640625" style="8" customWidth="1"/>
    <col min="519" max="519" width="3" style="8" customWidth="1"/>
    <col min="520" max="520" width="5.6328125" style="8" customWidth="1"/>
    <col min="521" max="521" width="3.1796875" style="8" customWidth="1"/>
    <col min="522" max="522" width="9.81640625" style="8" bestFit="1" customWidth="1"/>
    <col min="523" max="524" width="0" style="8" hidden="1" customWidth="1"/>
    <col min="525" max="525" width="10.54296875" style="8" customWidth="1"/>
    <col min="526" max="526" width="11.453125" style="8" customWidth="1"/>
    <col min="527" max="527" width="0.90625" style="8" customWidth="1"/>
    <col min="528" max="528" width="8.90625" style="8"/>
    <col min="529" max="529" width="8.36328125" style="8" bestFit="1" customWidth="1"/>
    <col min="530" max="768" width="8.90625" style="8"/>
    <col min="769" max="769" width="1.36328125" style="8" customWidth="1"/>
    <col min="770" max="770" width="11.54296875" style="8" customWidth="1"/>
    <col min="771" max="771" width="10.54296875" style="8" customWidth="1"/>
    <col min="772" max="772" width="12" style="8" customWidth="1"/>
    <col min="773" max="773" width="28" style="8" customWidth="1"/>
    <col min="774" max="774" width="8.81640625" style="8" customWidth="1"/>
    <col min="775" max="775" width="3" style="8" customWidth="1"/>
    <col min="776" max="776" width="5.6328125" style="8" customWidth="1"/>
    <col min="777" max="777" width="3.1796875" style="8" customWidth="1"/>
    <col min="778" max="778" width="9.81640625" style="8" bestFit="1" customWidth="1"/>
    <col min="779" max="780" width="0" style="8" hidden="1" customWidth="1"/>
    <col min="781" max="781" width="10.54296875" style="8" customWidth="1"/>
    <col min="782" max="782" width="11.453125" style="8" customWidth="1"/>
    <col min="783" max="783" width="0.90625" style="8" customWidth="1"/>
    <col min="784" max="784" width="8.90625" style="8"/>
    <col min="785" max="785" width="8.36328125" style="8" bestFit="1" customWidth="1"/>
    <col min="786" max="1024" width="8.90625" style="8"/>
    <col min="1025" max="1025" width="1.36328125" style="8" customWidth="1"/>
    <col min="1026" max="1026" width="11.54296875" style="8" customWidth="1"/>
    <col min="1027" max="1027" width="10.54296875" style="8" customWidth="1"/>
    <col min="1028" max="1028" width="12" style="8" customWidth="1"/>
    <col min="1029" max="1029" width="28" style="8" customWidth="1"/>
    <col min="1030" max="1030" width="8.81640625" style="8" customWidth="1"/>
    <col min="1031" max="1031" width="3" style="8" customWidth="1"/>
    <col min="1032" max="1032" width="5.6328125" style="8" customWidth="1"/>
    <col min="1033" max="1033" width="3.1796875" style="8" customWidth="1"/>
    <col min="1034" max="1034" width="9.81640625" style="8" bestFit="1" customWidth="1"/>
    <col min="1035" max="1036" width="0" style="8" hidden="1" customWidth="1"/>
    <col min="1037" max="1037" width="10.54296875" style="8" customWidth="1"/>
    <col min="1038" max="1038" width="11.453125" style="8" customWidth="1"/>
    <col min="1039" max="1039" width="0.90625" style="8" customWidth="1"/>
    <col min="1040" max="1040" width="8.90625" style="8"/>
    <col min="1041" max="1041" width="8.36328125" style="8" bestFit="1" customWidth="1"/>
    <col min="1042" max="1280" width="8.90625" style="8"/>
    <col min="1281" max="1281" width="1.36328125" style="8" customWidth="1"/>
    <col min="1282" max="1282" width="11.54296875" style="8" customWidth="1"/>
    <col min="1283" max="1283" width="10.54296875" style="8" customWidth="1"/>
    <col min="1284" max="1284" width="12" style="8" customWidth="1"/>
    <col min="1285" max="1285" width="28" style="8" customWidth="1"/>
    <col min="1286" max="1286" width="8.81640625" style="8" customWidth="1"/>
    <col min="1287" max="1287" width="3" style="8" customWidth="1"/>
    <col min="1288" max="1288" width="5.6328125" style="8" customWidth="1"/>
    <col min="1289" max="1289" width="3.1796875" style="8" customWidth="1"/>
    <col min="1290" max="1290" width="9.81640625" style="8" bestFit="1" customWidth="1"/>
    <col min="1291" max="1292" width="0" style="8" hidden="1" customWidth="1"/>
    <col min="1293" max="1293" width="10.54296875" style="8" customWidth="1"/>
    <col min="1294" max="1294" width="11.453125" style="8" customWidth="1"/>
    <col min="1295" max="1295" width="0.90625" style="8" customWidth="1"/>
    <col min="1296" max="1296" width="8.90625" style="8"/>
    <col min="1297" max="1297" width="8.36328125" style="8" bestFit="1" customWidth="1"/>
    <col min="1298" max="1536" width="8.90625" style="8"/>
    <col min="1537" max="1537" width="1.36328125" style="8" customWidth="1"/>
    <col min="1538" max="1538" width="11.54296875" style="8" customWidth="1"/>
    <col min="1539" max="1539" width="10.54296875" style="8" customWidth="1"/>
    <col min="1540" max="1540" width="12" style="8" customWidth="1"/>
    <col min="1541" max="1541" width="28" style="8" customWidth="1"/>
    <col min="1542" max="1542" width="8.81640625" style="8" customWidth="1"/>
    <col min="1543" max="1543" width="3" style="8" customWidth="1"/>
    <col min="1544" max="1544" width="5.6328125" style="8" customWidth="1"/>
    <col min="1545" max="1545" width="3.1796875" style="8" customWidth="1"/>
    <col min="1546" max="1546" width="9.81640625" style="8" bestFit="1" customWidth="1"/>
    <col min="1547" max="1548" width="0" style="8" hidden="1" customWidth="1"/>
    <col min="1549" max="1549" width="10.54296875" style="8" customWidth="1"/>
    <col min="1550" max="1550" width="11.453125" style="8" customWidth="1"/>
    <col min="1551" max="1551" width="0.90625" style="8" customWidth="1"/>
    <col min="1552" max="1552" width="8.90625" style="8"/>
    <col min="1553" max="1553" width="8.36328125" style="8" bestFit="1" customWidth="1"/>
    <col min="1554" max="1792" width="8.90625" style="8"/>
    <col min="1793" max="1793" width="1.36328125" style="8" customWidth="1"/>
    <col min="1794" max="1794" width="11.54296875" style="8" customWidth="1"/>
    <col min="1795" max="1795" width="10.54296875" style="8" customWidth="1"/>
    <col min="1796" max="1796" width="12" style="8" customWidth="1"/>
    <col min="1797" max="1797" width="28" style="8" customWidth="1"/>
    <col min="1798" max="1798" width="8.81640625" style="8" customWidth="1"/>
    <col min="1799" max="1799" width="3" style="8" customWidth="1"/>
    <col min="1800" max="1800" width="5.6328125" style="8" customWidth="1"/>
    <col min="1801" max="1801" width="3.1796875" style="8" customWidth="1"/>
    <col min="1802" max="1802" width="9.81640625" style="8" bestFit="1" customWidth="1"/>
    <col min="1803" max="1804" width="0" style="8" hidden="1" customWidth="1"/>
    <col min="1805" max="1805" width="10.54296875" style="8" customWidth="1"/>
    <col min="1806" max="1806" width="11.453125" style="8" customWidth="1"/>
    <col min="1807" max="1807" width="0.90625" style="8" customWidth="1"/>
    <col min="1808" max="1808" width="8.90625" style="8"/>
    <col min="1809" max="1809" width="8.36328125" style="8" bestFit="1" customWidth="1"/>
    <col min="1810" max="2048" width="8.90625" style="8"/>
    <col min="2049" max="2049" width="1.36328125" style="8" customWidth="1"/>
    <col min="2050" max="2050" width="11.54296875" style="8" customWidth="1"/>
    <col min="2051" max="2051" width="10.54296875" style="8" customWidth="1"/>
    <col min="2052" max="2052" width="12" style="8" customWidth="1"/>
    <col min="2053" max="2053" width="28" style="8" customWidth="1"/>
    <col min="2054" max="2054" width="8.81640625" style="8" customWidth="1"/>
    <col min="2055" max="2055" width="3" style="8" customWidth="1"/>
    <col min="2056" max="2056" width="5.6328125" style="8" customWidth="1"/>
    <col min="2057" max="2057" width="3.1796875" style="8" customWidth="1"/>
    <col min="2058" max="2058" width="9.81640625" style="8" bestFit="1" customWidth="1"/>
    <col min="2059" max="2060" width="0" style="8" hidden="1" customWidth="1"/>
    <col min="2061" max="2061" width="10.54296875" style="8" customWidth="1"/>
    <col min="2062" max="2062" width="11.453125" style="8" customWidth="1"/>
    <col min="2063" max="2063" width="0.90625" style="8" customWidth="1"/>
    <col min="2064" max="2064" width="8.90625" style="8"/>
    <col min="2065" max="2065" width="8.36328125" style="8" bestFit="1" customWidth="1"/>
    <col min="2066" max="2304" width="8.90625" style="8"/>
    <col min="2305" max="2305" width="1.36328125" style="8" customWidth="1"/>
    <col min="2306" max="2306" width="11.54296875" style="8" customWidth="1"/>
    <col min="2307" max="2307" width="10.54296875" style="8" customWidth="1"/>
    <col min="2308" max="2308" width="12" style="8" customWidth="1"/>
    <col min="2309" max="2309" width="28" style="8" customWidth="1"/>
    <col min="2310" max="2310" width="8.81640625" style="8" customWidth="1"/>
    <col min="2311" max="2311" width="3" style="8" customWidth="1"/>
    <col min="2312" max="2312" width="5.6328125" style="8" customWidth="1"/>
    <col min="2313" max="2313" width="3.1796875" style="8" customWidth="1"/>
    <col min="2314" max="2314" width="9.81640625" style="8" bestFit="1" customWidth="1"/>
    <col min="2315" max="2316" width="0" style="8" hidden="1" customWidth="1"/>
    <col min="2317" max="2317" width="10.54296875" style="8" customWidth="1"/>
    <col min="2318" max="2318" width="11.453125" style="8" customWidth="1"/>
    <col min="2319" max="2319" width="0.90625" style="8" customWidth="1"/>
    <col min="2320" max="2320" width="8.90625" style="8"/>
    <col min="2321" max="2321" width="8.36328125" style="8" bestFit="1" customWidth="1"/>
    <col min="2322" max="2560" width="8.90625" style="8"/>
    <col min="2561" max="2561" width="1.36328125" style="8" customWidth="1"/>
    <col min="2562" max="2562" width="11.54296875" style="8" customWidth="1"/>
    <col min="2563" max="2563" width="10.54296875" style="8" customWidth="1"/>
    <col min="2564" max="2564" width="12" style="8" customWidth="1"/>
    <col min="2565" max="2565" width="28" style="8" customWidth="1"/>
    <col min="2566" max="2566" width="8.81640625" style="8" customWidth="1"/>
    <col min="2567" max="2567" width="3" style="8" customWidth="1"/>
    <col min="2568" max="2568" width="5.6328125" style="8" customWidth="1"/>
    <col min="2569" max="2569" width="3.1796875" style="8" customWidth="1"/>
    <col min="2570" max="2570" width="9.81640625" style="8" bestFit="1" customWidth="1"/>
    <col min="2571" max="2572" width="0" style="8" hidden="1" customWidth="1"/>
    <col min="2573" max="2573" width="10.54296875" style="8" customWidth="1"/>
    <col min="2574" max="2574" width="11.453125" style="8" customWidth="1"/>
    <col min="2575" max="2575" width="0.90625" style="8" customWidth="1"/>
    <col min="2576" max="2576" width="8.90625" style="8"/>
    <col min="2577" max="2577" width="8.36328125" style="8" bestFit="1" customWidth="1"/>
    <col min="2578" max="2816" width="8.90625" style="8"/>
    <col min="2817" max="2817" width="1.36328125" style="8" customWidth="1"/>
    <col min="2818" max="2818" width="11.54296875" style="8" customWidth="1"/>
    <col min="2819" max="2819" width="10.54296875" style="8" customWidth="1"/>
    <col min="2820" max="2820" width="12" style="8" customWidth="1"/>
    <col min="2821" max="2821" width="28" style="8" customWidth="1"/>
    <col min="2822" max="2822" width="8.81640625" style="8" customWidth="1"/>
    <col min="2823" max="2823" width="3" style="8" customWidth="1"/>
    <col min="2824" max="2824" width="5.6328125" style="8" customWidth="1"/>
    <col min="2825" max="2825" width="3.1796875" style="8" customWidth="1"/>
    <col min="2826" max="2826" width="9.81640625" style="8" bestFit="1" customWidth="1"/>
    <col min="2827" max="2828" width="0" style="8" hidden="1" customWidth="1"/>
    <col min="2829" max="2829" width="10.54296875" style="8" customWidth="1"/>
    <col min="2830" max="2830" width="11.453125" style="8" customWidth="1"/>
    <col min="2831" max="2831" width="0.90625" style="8" customWidth="1"/>
    <col min="2832" max="2832" width="8.90625" style="8"/>
    <col min="2833" max="2833" width="8.36328125" style="8" bestFit="1" customWidth="1"/>
    <col min="2834" max="3072" width="8.90625" style="8"/>
    <col min="3073" max="3073" width="1.36328125" style="8" customWidth="1"/>
    <col min="3074" max="3074" width="11.54296875" style="8" customWidth="1"/>
    <col min="3075" max="3075" width="10.54296875" style="8" customWidth="1"/>
    <col min="3076" max="3076" width="12" style="8" customWidth="1"/>
    <col min="3077" max="3077" width="28" style="8" customWidth="1"/>
    <col min="3078" max="3078" width="8.81640625" style="8" customWidth="1"/>
    <col min="3079" max="3079" width="3" style="8" customWidth="1"/>
    <col min="3080" max="3080" width="5.6328125" style="8" customWidth="1"/>
    <col min="3081" max="3081" width="3.1796875" style="8" customWidth="1"/>
    <col min="3082" max="3082" width="9.81640625" style="8" bestFit="1" customWidth="1"/>
    <col min="3083" max="3084" width="0" style="8" hidden="1" customWidth="1"/>
    <col min="3085" max="3085" width="10.54296875" style="8" customWidth="1"/>
    <col min="3086" max="3086" width="11.453125" style="8" customWidth="1"/>
    <col min="3087" max="3087" width="0.90625" style="8" customWidth="1"/>
    <col min="3088" max="3088" width="8.90625" style="8"/>
    <col min="3089" max="3089" width="8.36328125" style="8" bestFit="1" customWidth="1"/>
    <col min="3090" max="3328" width="8.90625" style="8"/>
    <col min="3329" max="3329" width="1.36328125" style="8" customWidth="1"/>
    <col min="3330" max="3330" width="11.54296875" style="8" customWidth="1"/>
    <col min="3331" max="3331" width="10.54296875" style="8" customWidth="1"/>
    <col min="3332" max="3332" width="12" style="8" customWidth="1"/>
    <col min="3333" max="3333" width="28" style="8" customWidth="1"/>
    <col min="3334" max="3334" width="8.81640625" style="8" customWidth="1"/>
    <col min="3335" max="3335" width="3" style="8" customWidth="1"/>
    <col min="3336" max="3336" width="5.6328125" style="8" customWidth="1"/>
    <col min="3337" max="3337" width="3.1796875" style="8" customWidth="1"/>
    <col min="3338" max="3338" width="9.81640625" style="8" bestFit="1" customWidth="1"/>
    <col min="3339" max="3340" width="0" style="8" hidden="1" customWidth="1"/>
    <col min="3341" max="3341" width="10.54296875" style="8" customWidth="1"/>
    <col min="3342" max="3342" width="11.453125" style="8" customWidth="1"/>
    <col min="3343" max="3343" width="0.90625" style="8" customWidth="1"/>
    <col min="3344" max="3344" width="8.90625" style="8"/>
    <col min="3345" max="3345" width="8.36328125" style="8" bestFit="1" customWidth="1"/>
    <col min="3346" max="3584" width="8.90625" style="8"/>
    <col min="3585" max="3585" width="1.36328125" style="8" customWidth="1"/>
    <col min="3586" max="3586" width="11.54296875" style="8" customWidth="1"/>
    <col min="3587" max="3587" width="10.54296875" style="8" customWidth="1"/>
    <col min="3588" max="3588" width="12" style="8" customWidth="1"/>
    <col min="3589" max="3589" width="28" style="8" customWidth="1"/>
    <col min="3590" max="3590" width="8.81640625" style="8" customWidth="1"/>
    <col min="3591" max="3591" width="3" style="8" customWidth="1"/>
    <col min="3592" max="3592" width="5.6328125" style="8" customWidth="1"/>
    <col min="3593" max="3593" width="3.1796875" style="8" customWidth="1"/>
    <col min="3594" max="3594" width="9.81640625" style="8" bestFit="1" customWidth="1"/>
    <col min="3595" max="3596" width="0" style="8" hidden="1" customWidth="1"/>
    <col min="3597" max="3597" width="10.54296875" style="8" customWidth="1"/>
    <col min="3598" max="3598" width="11.453125" style="8" customWidth="1"/>
    <col min="3599" max="3599" width="0.90625" style="8" customWidth="1"/>
    <col min="3600" max="3600" width="8.90625" style="8"/>
    <col min="3601" max="3601" width="8.36328125" style="8" bestFit="1" customWidth="1"/>
    <col min="3602" max="3840" width="8.90625" style="8"/>
    <col min="3841" max="3841" width="1.36328125" style="8" customWidth="1"/>
    <col min="3842" max="3842" width="11.54296875" style="8" customWidth="1"/>
    <col min="3843" max="3843" width="10.54296875" style="8" customWidth="1"/>
    <col min="3844" max="3844" width="12" style="8" customWidth="1"/>
    <col min="3845" max="3845" width="28" style="8" customWidth="1"/>
    <col min="3846" max="3846" width="8.81640625" style="8" customWidth="1"/>
    <col min="3847" max="3847" width="3" style="8" customWidth="1"/>
    <col min="3848" max="3848" width="5.6328125" style="8" customWidth="1"/>
    <col min="3849" max="3849" width="3.1796875" style="8" customWidth="1"/>
    <col min="3850" max="3850" width="9.81640625" style="8" bestFit="1" customWidth="1"/>
    <col min="3851" max="3852" width="0" style="8" hidden="1" customWidth="1"/>
    <col min="3853" max="3853" width="10.54296875" style="8" customWidth="1"/>
    <col min="3854" max="3854" width="11.453125" style="8" customWidth="1"/>
    <col min="3855" max="3855" width="0.90625" style="8" customWidth="1"/>
    <col min="3856" max="3856" width="8.90625" style="8"/>
    <col min="3857" max="3857" width="8.36328125" style="8" bestFit="1" customWidth="1"/>
    <col min="3858" max="4096" width="8.90625" style="8"/>
    <col min="4097" max="4097" width="1.36328125" style="8" customWidth="1"/>
    <col min="4098" max="4098" width="11.54296875" style="8" customWidth="1"/>
    <col min="4099" max="4099" width="10.54296875" style="8" customWidth="1"/>
    <col min="4100" max="4100" width="12" style="8" customWidth="1"/>
    <col min="4101" max="4101" width="28" style="8" customWidth="1"/>
    <col min="4102" max="4102" width="8.81640625" style="8" customWidth="1"/>
    <col min="4103" max="4103" width="3" style="8" customWidth="1"/>
    <col min="4104" max="4104" width="5.6328125" style="8" customWidth="1"/>
    <col min="4105" max="4105" width="3.1796875" style="8" customWidth="1"/>
    <col min="4106" max="4106" width="9.81640625" style="8" bestFit="1" customWidth="1"/>
    <col min="4107" max="4108" width="0" style="8" hidden="1" customWidth="1"/>
    <col min="4109" max="4109" width="10.54296875" style="8" customWidth="1"/>
    <col min="4110" max="4110" width="11.453125" style="8" customWidth="1"/>
    <col min="4111" max="4111" width="0.90625" style="8" customWidth="1"/>
    <col min="4112" max="4112" width="8.90625" style="8"/>
    <col min="4113" max="4113" width="8.36328125" style="8" bestFit="1" customWidth="1"/>
    <col min="4114" max="4352" width="8.90625" style="8"/>
    <col min="4353" max="4353" width="1.36328125" style="8" customWidth="1"/>
    <col min="4354" max="4354" width="11.54296875" style="8" customWidth="1"/>
    <col min="4355" max="4355" width="10.54296875" style="8" customWidth="1"/>
    <col min="4356" max="4356" width="12" style="8" customWidth="1"/>
    <col min="4357" max="4357" width="28" style="8" customWidth="1"/>
    <col min="4358" max="4358" width="8.81640625" style="8" customWidth="1"/>
    <col min="4359" max="4359" width="3" style="8" customWidth="1"/>
    <col min="4360" max="4360" width="5.6328125" style="8" customWidth="1"/>
    <col min="4361" max="4361" width="3.1796875" style="8" customWidth="1"/>
    <col min="4362" max="4362" width="9.81640625" style="8" bestFit="1" customWidth="1"/>
    <col min="4363" max="4364" width="0" style="8" hidden="1" customWidth="1"/>
    <col min="4365" max="4365" width="10.54296875" style="8" customWidth="1"/>
    <col min="4366" max="4366" width="11.453125" style="8" customWidth="1"/>
    <col min="4367" max="4367" width="0.90625" style="8" customWidth="1"/>
    <col min="4368" max="4368" width="8.90625" style="8"/>
    <col min="4369" max="4369" width="8.36328125" style="8" bestFit="1" customWidth="1"/>
    <col min="4370" max="4608" width="8.90625" style="8"/>
    <col min="4609" max="4609" width="1.36328125" style="8" customWidth="1"/>
    <col min="4610" max="4610" width="11.54296875" style="8" customWidth="1"/>
    <col min="4611" max="4611" width="10.54296875" style="8" customWidth="1"/>
    <col min="4612" max="4612" width="12" style="8" customWidth="1"/>
    <col min="4613" max="4613" width="28" style="8" customWidth="1"/>
    <col min="4614" max="4614" width="8.81640625" style="8" customWidth="1"/>
    <col min="4615" max="4615" width="3" style="8" customWidth="1"/>
    <col min="4616" max="4616" width="5.6328125" style="8" customWidth="1"/>
    <col min="4617" max="4617" width="3.1796875" style="8" customWidth="1"/>
    <col min="4618" max="4618" width="9.81640625" style="8" bestFit="1" customWidth="1"/>
    <col min="4619" max="4620" width="0" style="8" hidden="1" customWidth="1"/>
    <col min="4621" max="4621" width="10.54296875" style="8" customWidth="1"/>
    <col min="4622" max="4622" width="11.453125" style="8" customWidth="1"/>
    <col min="4623" max="4623" width="0.90625" style="8" customWidth="1"/>
    <col min="4624" max="4624" width="8.90625" style="8"/>
    <col min="4625" max="4625" width="8.36328125" style="8" bestFit="1" customWidth="1"/>
    <col min="4626" max="4864" width="8.90625" style="8"/>
    <col min="4865" max="4865" width="1.36328125" style="8" customWidth="1"/>
    <col min="4866" max="4866" width="11.54296875" style="8" customWidth="1"/>
    <col min="4867" max="4867" width="10.54296875" style="8" customWidth="1"/>
    <col min="4868" max="4868" width="12" style="8" customWidth="1"/>
    <col min="4869" max="4869" width="28" style="8" customWidth="1"/>
    <col min="4870" max="4870" width="8.81640625" style="8" customWidth="1"/>
    <col min="4871" max="4871" width="3" style="8" customWidth="1"/>
    <col min="4872" max="4872" width="5.6328125" style="8" customWidth="1"/>
    <col min="4873" max="4873" width="3.1796875" style="8" customWidth="1"/>
    <col min="4874" max="4874" width="9.81640625" style="8" bestFit="1" customWidth="1"/>
    <col min="4875" max="4876" width="0" style="8" hidden="1" customWidth="1"/>
    <col min="4877" max="4877" width="10.54296875" style="8" customWidth="1"/>
    <col min="4878" max="4878" width="11.453125" style="8" customWidth="1"/>
    <col min="4879" max="4879" width="0.90625" style="8" customWidth="1"/>
    <col min="4880" max="4880" width="8.90625" style="8"/>
    <col min="4881" max="4881" width="8.36328125" style="8" bestFit="1" customWidth="1"/>
    <col min="4882" max="5120" width="8.90625" style="8"/>
    <col min="5121" max="5121" width="1.36328125" style="8" customWidth="1"/>
    <col min="5122" max="5122" width="11.54296875" style="8" customWidth="1"/>
    <col min="5123" max="5123" width="10.54296875" style="8" customWidth="1"/>
    <col min="5124" max="5124" width="12" style="8" customWidth="1"/>
    <col min="5125" max="5125" width="28" style="8" customWidth="1"/>
    <col min="5126" max="5126" width="8.81640625" style="8" customWidth="1"/>
    <col min="5127" max="5127" width="3" style="8" customWidth="1"/>
    <col min="5128" max="5128" width="5.6328125" style="8" customWidth="1"/>
    <col min="5129" max="5129" width="3.1796875" style="8" customWidth="1"/>
    <col min="5130" max="5130" width="9.81640625" style="8" bestFit="1" customWidth="1"/>
    <col min="5131" max="5132" width="0" style="8" hidden="1" customWidth="1"/>
    <col min="5133" max="5133" width="10.54296875" style="8" customWidth="1"/>
    <col min="5134" max="5134" width="11.453125" style="8" customWidth="1"/>
    <col min="5135" max="5135" width="0.90625" style="8" customWidth="1"/>
    <col min="5136" max="5136" width="8.90625" style="8"/>
    <col min="5137" max="5137" width="8.36328125" style="8" bestFit="1" customWidth="1"/>
    <col min="5138" max="5376" width="8.90625" style="8"/>
    <col min="5377" max="5377" width="1.36328125" style="8" customWidth="1"/>
    <col min="5378" max="5378" width="11.54296875" style="8" customWidth="1"/>
    <col min="5379" max="5379" width="10.54296875" style="8" customWidth="1"/>
    <col min="5380" max="5380" width="12" style="8" customWidth="1"/>
    <col min="5381" max="5381" width="28" style="8" customWidth="1"/>
    <col min="5382" max="5382" width="8.81640625" style="8" customWidth="1"/>
    <col min="5383" max="5383" width="3" style="8" customWidth="1"/>
    <col min="5384" max="5384" width="5.6328125" style="8" customWidth="1"/>
    <col min="5385" max="5385" width="3.1796875" style="8" customWidth="1"/>
    <col min="5386" max="5386" width="9.81640625" style="8" bestFit="1" customWidth="1"/>
    <col min="5387" max="5388" width="0" style="8" hidden="1" customWidth="1"/>
    <col min="5389" max="5389" width="10.54296875" style="8" customWidth="1"/>
    <col min="5390" max="5390" width="11.453125" style="8" customWidth="1"/>
    <col min="5391" max="5391" width="0.90625" style="8" customWidth="1"/>
    <col min="5392" max="5392" width="8.90625" style="8"/>
    <col min="5393" max="5393" width="8.36328125" style="8" bestFit="1" customWidth="1"/>
    <col min="5394" max="5632" width="8.90625" style="8"/>
    <col min="5633" max="5633" width="1.36328125" style="8" customWidth="1"/>
    <col min="5634" max="5634" width="11.54296875" style="8" customWidth="1"/>
    <col min="5635" max="5635" width="10.54296875" style="8" customWidth="1"/>
    <col min="5636" max="5636" width="12" style="8" customWidth="1"/>
    <col min="5637" max="5637" width="28" style="8" customWidth="1"/>
    <col min="5638" max="5638" width="8.81640625" style="8" customWidth="1"/>
    <col min="5639" max="5639" width="3" style="8" customWidth="1"/>
    <col min="5640" max="5640" width="5.6328125" style="8" customWidth="1"/>
    <col min="5641" max="5641" width="3.1796875" style="8" customWidth="1"/>
    <col min="5642" max="5642" width="9.81640625" style="8" bestFit="1" customWidth="1"/>
    <col min="5643" max="5644" width="0" style="8" hidden="1" customWidth="1"/>
    <col min="5645" max="5645" width="10.54296875" style="8" customWidth="1"/>
    <col min="5646" max="5646" width="11.453125" style="8" customWidth="1"/>
    <col min="5647" max="5647" width="0.90625" style="8" customWidth="1"/>
    <col min="5648" max="5648" width="8.90625" style="8"/>
    <col min="5649" max="5649" width="8.36328125" style="8" bestFit="1" customWidth="1"/>
    <col min="5650" max="5888" width="8.90625" style="8"/>
    <col min="5889" max="5889" width="1.36328125" style="8" customWidth="1"/>
    <col min="5890" max="5890" width="11.54296875" style="8" customWidth="1"/>
    <col min="5891" max="5891" width="10.54296875" style="8" customWidth="1"/>
    <col min="5892" max="5892" width="12" style="8" customWidth="1"/>
    <col min="5893" max="5893" width="28" style="8" customWidth="1"/>
    <col min="5894" max="5894" width="8.81640625" style="8" customWidth="1"/>
    <col min="5895" max="5895" width="3" style="8" customWidth="1"/>
    <col min="5896" max="5896" width="5.6328125" style="8" customWidth="1"/>
    <col min="5897" max="5897" width="3.1796875" style="8" customWidth="1"/>
    <col min="5898" max="5898" width="9.81640625" style="8" bestFit="1" customWidth="1"/>
    <col min="5899" max="5900" width="0" style="8" hidden="1" customWidth="1"/>
    <col min="5901" max="5901" width="10.54296875" style="8" customWidth="1"/>
    <col min="5902" max="5902" width="11.453125" style="8" customWidth="1"/>
    <col min="5903" max="5903" width="0.90625" style="8" customWidth="1"/>
    <col min="5904" max="5904" width="8.90625" style="8"/>
    <col min="5905" max="5905" width="8.36328125" style="8" bestFit="1" customWidth="1"/>
    <col min="5906" max="6144" width="8.90625" style="8"/>
    <col min="6145" max="6145" width="1.36328125" style="8" customWidth="1"/>
    <col min="6146" max="6146" width="11.54296875" style="8" customWidth="1"/>
    <col min="6147" max="6147" width="10.54296875" style="8" customWidth="1"/>
    <col min="6148" max="6148" width="12" style="8" customWidth="1"/>
    <col min="6149" max="6149" width="28" style="8" customWidth="1"/>
    <col min="6150" max="6150" width="8.81640625" style="8" customWidth="1"/>
    <col min="6151" max="6151" width="3" style="8" customWidth="1"/>
    <col min="6152" max="6152" width="5.6328125" style="8" customWidth="1"/>
    <col min="6153" max="6153" width="3.1796875" style="8" customWidth="1"/>
    <col min="6154" max="6154" width="9.81640625" style="8" bestFit="1" customWidth="1"/>
    <col min="6155" max="6156" width="0" style="8" hidden="1" customWidth="1"/>
    <col min="6157" max="6157" width="10.54296875" style="8" customWidth="1"/>
    <col min="6158" max="6158" width="11.453125" style="8" customWidth="1"/>
    <col min="6159" max="6159" width="0.90625" style="8" customWidth="1"/>
    <col min="6160" max="6160" width="8.90625" style="8"/>
    <col min="6161" max="6161" width="8.36328125" style="8" bestFit="1" customWidth="1"/>
    <col min="6162" max="6400" width="8.90625" style="8"/>
    <col min="6401" max="6401" width="1.36328125" style="8" customWidth="1"/>
    <col min="6402" max="6402" width="11.54296875" style="8" customWidth="1"/>
    <col min="6403" max="6403" width="10.54296875" style="8" customWidth="1"/>
    <col min="6404" max="6404" width="12" style="8" customWidth="1"/>
    <col min="6405" max="6405" width="28" style="8" customWidth="1"/>
    <col min="6406" max="6406" width="8.81640625" style="8" customWidth="1"/>
    <col min="6407" max="6407" width="3" style="8" customWidth="1"/>
    <col min="6408" max="6408" width="5.6328125" style="8" customWidth="1"/>
    <col min="6409" max="6409" width="3.1796875" style="8" customWidth="1"/>
    <col min="6410" max="6410" width="9.81640625" style="8" bestFit="1" customWidth="1"/>
    <col min="6411" max="6412" width="0" style="8" hidden="1" customWidth="1"/>
    <col min="6413" max="6413" width="10.54296875" style="8" customWidth="1"/>
    <col min="6414" max="6414" width="11.453125" style="8" customWidth="1"/>
    <col min="6415" max="6415" width="0.90625" style="8" customWidth="1"/>
    <col min="6416" max="6416" width="8.90625" style="8"/>
    <col min="6417" max="6417" width="8.36328125" style="8" bestFit="1" customWidth="1"/>
    <col min="6418" max="6656" width="8.90625" style="8"/>
    <col min="6657" max="6657" width="1.36328125" style="8" customWidth="1"/>
    <col min="6658" max="6658" width="11.54296875" style="8" customWidth="1"/>
    <col min="6659" max="6659" width="10.54296875" style="8" customWidth="1"/>
    <col min="6660" max="6660" width="12" style="8" customWidth="1"/>
    <col min="6661" max="6661" width="28" style="8" customWidth="1"/>
    <col min="6662" max="6662" width="8.81640625" style="8" customWidth="1"/>
    <col min="6663" max="6663" width="3" style="8" customWidth="1"/>
    <col min="6664" max="6664" width="5.6328125" style="8" customWidth="1"/>
    <col min="6665" max="6665" width="3.1796875" style="8" customWidth="1"/>
    <col min="6666" max="6666" width="9.81640625" style="8" bestFit="1" customWidth="1"/>
    <col min="6667" max="6668" width="0" style="8" hidden="1" customWidth="1"/>
    <col min="6669" max="6669" width="10.54296875" style="8" customWidth="1"/>
    <col min="6670" max="6670" width="11.453125" style="8" customWidth="1"/>
    <col min="6671" max="6671" width="0.90625" style="8" customWidth="1"/>
    <col min="6672" max="6672" width="8.90625" style="8"/>
    <col min="6673" max="6673" width="8.36328125" style="8" bestFit="1" customWidth="1"/>
    <col min="6674" max="6912" width="8.90625" style="8"/>
    <col min="6913" max="6913" width="1.36328125" style="8" customWidth="1"/>
    <col min="6914" max="6914" width="11.54296875" style="8" customWidth="1"/>
    <col min="6915" max="6915" width="10.54296875" style="8" customWidth="1"/>
    <col min="6916" max="6916" width="12" style="8" customWidth="1"/>
    <col min="6917" max="6917" width="28" style="8" customWidth="1"/>
    <col min="6918" max="6918" width="8.81640625" style="8" customWidth="1"/>
    <col min="6919" max="6919" width="3" style="8" customWidth="1"/>
    <col min="6920" max="6920" width="5.6328125" style="8" customWidth="1"/>
    <col min="6921" max="6921" width="3.1796875" style="8" customWidth="1"/>
    <col min="6922" max="6922" width="9.81640625" style="8" bestFit="1" customWidth="1"/>
    <col min="6923" max="6924" width="0" style="8" hidden="1" customWidth="1"/>
    <col min="6925" max="6925" width="10.54296875" style="8" customWidth="1"/>
    <col min="6926" max="6926" width="11.453125" style="8" customWidth="1"/>
    <col min="6927" max="6927" width="0.90625" style="8" customWidth="1"/>
    <col min="6928" max="6928" width="8.90625" style="8"/>
    <col min="6929" max="6929" width="8.36328125" style="8" bestFit="1" customWidth="1"/>
    <col min="6930" max="7168" width="8.90625" style="8"/>
    <col min="7169" max="7169" width="1.36328125" style="8" customWidth="1"/>
    <col min="7170" max="7170" width="11.54296875" style="8" customWidth="1"/>
    <col min="7171" max="7171" width="10.54296875" style="8" customWidth="1"/>
    <col min="7172" max="7172" width="12" style="8" customWidth="1"/>
    <col min="7173" max="7173" width="28" style="8" customWidth="1"/>
    <col min="7174" max="7174" width="8.81640625" style="8" customWidth="1"/>
    <col min="7175" max="7175" width="3" style="8" customWidth="1"/>
    <col min="7176" max="7176" width="5.6328125" style="8" customWidth="1"/>
    <col min="7177" max="7177" width="3.1796875" style="8" customWidth="1"/>
    <col min="7178" max="7178" width="9.81640625" style="8" bestFit="1" customWidth="1"/>
    <col min="7179" max="7180" width="0" style="8" hidden="1" customWidth="1"/>
    <col min="7181" max="7181" width="10.54296875" style="8" customWidth="1"/>
    <col min="7182" max="7182" width="11.453125" style="8" customWidth="1"/>
    <col min="7183" max="7183" width="0.90625" style="8" customWidth="1"/>
    <col min="7184" max="7184" width="8.90625" style="8"/>
    <col min="7185" max="7185" width="8.36328125" style="8" bestFit="1" customWidth="1"/>
    <col min="7186" max="7424" width="8.90625" style="8"/>
    <col min="7425" max="7425" width="1.36328125" style="8" customWidth="1"/>
    <col min="7426" max="7426" width="11.54296875" style="8" customWidth="1"/>
    <col min="7427" max="7427" width="10.54296875" style="8" customWidth="1"/>
    <col min="7428" max="7428" width="12" style="8" customWidth="1"/>
    <col min="7429" max="7429" width="28" style="8" customWidth="1"/>
    <col min="7430" max="7430" width="8.81640625" style="8" customWidth="1"/>
    <col min="7431" max="7431" width="3" style="8" customWidth="1"/>
    <col min="7432" max="7432" width="5.6328125" style="8" customWidth="1"/>
    <col min="7433" max="7433" width="3.1796875" style="8" customWidth="1"/>
    <col min="7434" max="7434" width="9.81640625" style="8" bestFit="1" customWidth="1"/>
    <col min="7435" max="7436" width="0" style="8" hidden="1" customWidth="1"/>
    <col min="7437" max="7437" width="10.54296875" style="8" customWidth="1"/>
    <col min="7438" max="7438" width="11.453125" style="8" customWidth="1"/>
    <col min="7439" max="7439" width="0.90625" style="8" customWidth="1"/>
    <col min="7440" max="7440" width="8.90625" style="8"/>
    <col min="7441" max="7441" width="8.36328125" style="8" bestFit="1" customWidth="1"/>
    <col min="7442" max="7680" width="8.90625" style="8"/>
    <col min="7681" max="7681" width="1.36328125" style="8" customWidth="1"/>
    <col min="7682" max="7682" width="11.54296875" style="8" customWidth="1"/>
    <col min="7683" max="7683" width="10.54296875" style="8" customWidth="1"/>
    <col min="7684" max="7684" width="12" style="8" customWidth="1"/>
    <col min="7685" max="7685" width="28" style="8" customWidth="1"/>
    <col min="7686" max="7686" width="8.81640625" style="8" customWidth="1"/>
    <col min="7687" max="7687" width="3" style="8" customWidth="1"/>
    <col min="7688" max="7688" width="5.6328125" style="8" customWidth="1"/>
    <col min="7689" max="7689" width="3.1796875" style="8" customWidth="1"/>
    <col min="7690" max="7690" width="9.81640625" style="8" bestFit="1" customWidth="1"/>
    <col min="7691" max="7692" width="0" style="8" hidden="1" customWidth="1"/>
    <col min="7693" max="7693" width="10.54296875" style="8" customWidth="1"/>
    <col min="7694" max="7694" width="11.453125" style="8" customWidth="1"/>
    <col min="7695" max="7695" width="0.90625" style="8" customWidth="1"/>
    <col min="7696" max="7696" width="8.90625" style="8"/>
    <col min="7697" max="7697" width="8.36328125" style="8" bestFit="1" customWidth="1"/>
    <col min="7698" max="7936" width="8.90625" style="8"/>
    <col min="7937" max="7937" width="1.36328125" style="8" customWidth="1"/>
    <col min="7938" max="7938" width="11.54296875" style="8" customWidth="1"/>
    <col min="7939" max="7939" width="10.54296875" style="8" customWidth="1"/>
    <col min="7940" max="7940" width="12" style="8" customWidth="1"/>
    <col min="7941" max="7941" width="28" style="8" customWidth="1"/>
    <col min="7942" max="7942" width="8.81640625" style="8" customWidth="1"/>
    <col min="7943" max="7943" width="3" style="8" customWidth="1"/>
    <col min="7944" max="7944" width="5.6328125" style="8" customWidth="1"/>
    <col min="7945" max="7945" width="3.1796875" style="8" customWidth="1"/>
    <col min="7946" max="7946" width="9.81640625" style="8" bestFit="1" customWidth="1"/>
    <col min="7947" max="7948" width="0" style="8" hidden="1" customWidth="1"/>
    <col min="7949" max="7949" width="10.54296875" style="8" customWidth="1"/>
    <col min="7950" max="7950" width="11.453125" style="8" customWidth="1"/>
    <col min="7951" max="7951" width="0.90625" style="8" customWidth="1"/>
    <col min="7952" max="7952" width="8.90625" style="8"/>
    <col min="7953" max="7953" width="8.36328125" style="8" bestFit="1" customWidth="1"/>
    <col min="7954" max="8192" width="8.90625" style="8"/>
    <col min="8193" max="8193" width="1.36328125" style="8" customWidth="1"/>
    <col min="8194" max="8194" width="11.54296875" style="8" customWidth="1"/>
    <col min="8195" max="8195" width="10.54296875" style="8" customWidth="1"/>
    <col min="8196" max="8196" width="12" style="8" customWidth="1"/>
    <col min="8197" max="8197" width="28" style="8" customWidth="1"/>
    <col min="8198" max="8198" width="8.81640625" style="8" customWidth="1"/>
    <col min="8199" max="8199" width="3" style="8" customWidth="1"/>
    <col min="8200" max="8200" width="5.6328125" style="8" customWidth="1"/>
    <col min="8201" max="8201" width="3.1796875" style="8" customWidth="1"/>
    <col min="8202" max="8202" width="9.81640625" style="8" bestFit="1" customWidth="1"/>
    <col min="8203" max="8204" width="0" style="8" hidden="1" customWidth="1"/>
    <col min="8205" max="8205" width="10.54296875" style="8" customWidth="1"/>
    <col min="8206" max="8206" width="11.453125" style="8" customWidth="1"/>
    <col min="8207" max="8207" width="0.90625" style="8" customWidth="1"/>
    <col min="8208" max="8208" width="8.90625" style="8"/>
    <col min="8209" max="8209" width="8.36328125" style="8" bestFit="1" customWidth="1"/>
    <col min="8210" max="8448" width="8.90625" style="8"/>
    <col min="8449" max="8449" width="1.36328125" style="8" customWidth="1"/>
    <col min="8450" max="8450" width="11.54296875" style="8" customWidth="1"/>
    <col min="8451" max="8451" width="10.54296875" style="8" customWidth="1"/>
    <col min="8452" max="8452" width="12" style="8" customWidth="1"/>
    <col min="8453" max="8453" width="28" style="8" customWidth="1"/>
    <col min="8454" max="8454" width="8.81640625" style="8" customWidth="1"/>
    <col min="8455" max="8455" width="3" style="8" customWidth="1"/>
    <col min="8456" max="8456" width="5.6328125" style="8" customWidth="1"/>
    <col min="8457" max="8457" width="3.1796875" style="8" customWidth="1"/>
    <col min="8458" max="8458" width="9.81640625" style="8" bestFit="1" customWidth="1"/>
    <col min="8459" max="8460" width="0" style="8" hidden="1" customWidth="1"/>
    <col min="8461" max="8461" width="10.54296875" style="8" customWidth="1"/>
    <col min="8462" max="8462" width="11.453125" style="8" customWidth="1"/>
    <col min="8463" max="8463" width="0.90625" style="8" customWidth="1"/>
    <col min="8464" max="8464" width="8.90625" style="8"/>
    <col min="8465" max="8465" width="8.36328125" style="8" bestFit="1" customWidth="1"/>
    <col min="8466" max="8704" width="8.90625" style="8"/>
    <col min="8705" max="8705" width="1.36328125" style="8" customWidth="1"/>
    <col min="8706" max="8706" width="11.54296875" style="8" customWidth="1"/>
    <col min="8707" max="8707" width="10.54296875" style="8" customWidth="1"/>
    <col min="8708" max="8708" width="12" style="8" customWidth="1"/>
    <col min="8709" max="8709" width="28" style="8" customWidth="1"/>
    <col min="8710" max="8710" width="8.81640625" style="8" customWidth="1"/>
    <col min="8711" max="8711" width="3" style="8" customWidth="1"/>
    <col min="8712" max="8712" width="5.6328125" style="8" customWidth="1"/>
    <col min="8713" max="8713" width="3.1796875" style="8" customWidth="1"/>
    <col min="8714" max="8714" width="9.81640625" style="8" bestFit="1" customWidth="1"/>
    <col min="8715" max="8716" width="0" style="8" hidden="1" customWidth="1"/>
    <col min="8717" max="8717" width="10.54296875" style="8" customWidth="1"/>
    <col min="8718" max="8718" width="11.453125" style="8" customWidth="1"/>
    <col min="8719" max="8719" width="0.90625" style="8" customWidth="1"/>
    <col min="8720" max="8720" width="8.90625" style="8"/>
    <col min="8721" max="8721" width="8.36328125" style="8" bestFit="1" customWidth="1"/>
    <col min="8722" max="8960" width="8.90625" style="8"/>
    <col min="8961" max="8961" width="1.36328125" style="8" customWidth="1"/>
    <col min="8962" max="8962" width="11.54296875" style="8" customWidth="1"/>
    <col min="8963" max="8963" width="10.54296875" style="8" customWidth="1"/>
    <col min="8964" max="8964" width="12" style="8" customWidth="1"/>
    <col min="8965" max="8965" width="28" style="8" customWidth="1"/>
    <col min="8966" max="8966" width="8.81640625" style="8" customWidth="1"/>
    <col min="8967" max="8967" width="3" style="8" customWidth="1"/>
    <col min="8968" max="8968" width="5.6328125" style="8" customWidth="1"/>
    <col min="8969" max="8969" width="3.1796875" style="8" customWidth="1"/>
    <col min="8970" max="8970" width="9.81640625" style="8" bestFit="1" customWidth="1"/>
    <col min="8971" max="8972" width="0" style="8" hidden="1" customWidth="1"/>
    <col min="8973" max="8973" width="10.54296875" style="8" customWidth="1"/>
    <col min="8974" max="8974" width="11.453125" style="8" customWidth="1"/>
    <col min="8975" max="8975" width="0.90625" style="8" customWidth="1"/>
    <col min="8976" max="8976" width="8.90625" style="8"/>
    <col min="8977" max="8977" width="8.36328125" style="8" bestFit="1" customWidth="1"/>
    <col min="8978" max="9216" width="8.90625" style="8"/>
    <col min="9217" max="9217" width="1.36328125" style="8" customWidth="1"/>
    <col min="9218" max="9218" width="11.54296875" style="8" customWidth="1"/>
    <col min="9219" max="9219" width="10.54296875" style="8" customWidth="1"/>
    <col min="9220" max="9220" width="12" style="8" customWidth="1"/>
    <col min="9221" max="9221" width="28" style="8" customWidth="1"/>
    <col min="9222" max="9222" width="8.81640625" style="8" customWidth="1"/>
    <col min="9223" max="9223" width="3" style="8" customWidth="1"/>
    <col min="9224" max="9224" width="5.6328125" style="8" customWidth="1"/>
    <col min="9225" max="9225" width="3.1796875" style="8" customWidth="1"/>
    <col min="9226" max="9226" width="9.81640625" style="8" bestFit="1" customWidth="1"/>
    <col min="9227" max="9228" width="0" style="8" hidden="1" customWidth="1"/>
    <col min="9229" max="9229" width="10.54296875" style="8" customWidth="1"/>
    <col min="9230" max="9230" width="11.453125" style="8" customWidth="1"/>
    <col min="9231" max="9231" width="0.90625" style="8" customWidth="1"/>
    <col min="9232" max="9232" width="8.90625" style="8"/>
    <col min="9233" max="9233" width="8.36328125" style="8" bestFit="1" customWidth="1"/>
    <col min="9234" max="9472" width="8.90625" style="8"/>
    <col min="9473" max="9473" width="1.36328125" style="8" customWidth="1"/>
    <col min="9474" max="9474" width="11.54296875" style="8" customWidth="1"/>
    <col min="9475" max="9475" width="10.54296875" style="8" customWidth="1"/>
    <col min="9476" max="9476" width="12" style="8" customWidth="1"/>
    <col min="9477" max="9477" width="28" style="8" customWidth="1"/>
    <col min="9478" max="9478" width="8.81640625" style="8" customWidth="1"/>
    <col min="9479" max="9479" width="3" style="8" customWidth="1"/>
    <col min="9480" max="9480" width="5.6328125" style="8" customWidth="1"/>
    <col min="9481" max="9481" width="3.1796875" style="8" customWidth="1"/>
    <col min="9482" max="9482" width="9.81640625" style="8" bestFit="1" customWidth="1"/>
    <col min="9483" max="9484" width="0" style="8" hidden="1" customWidth="1"/>
    <col min="9485" max="9485" width="10.54296875" style="8" customWidth="1"/>
    <col min="9486" max="9486" width="11.453125" style="8" customWidth="1"/>
    <col min="9487" max="9487" width="0.90625" style="8" customWidth="1"/>
    <col min="9488" max="9488" width="8.90625" style="8"/>
    <col min="9489" max="9489" width="8.36328125" style="8" bestFit="1" customWidth="1"/>
    <col min="9490" max="9728" width="8.90625" style="8"/>
    <col min="9729" max="9729" width="1.36328125" style="8" customWidth="1"/>
    <col min="9730" max="9730" width="11.54296875" style="8" customWidth="1"/>
    <col min="9731" max="9731" width="10.54296875" style="8" customWidth="1"/>
    <col min="9732" max="9732" width="12" style="8" customWidth="1"/>
    <col min="9733" max="9733" width="28" style="8" customWidth="1"/>
    <col min="9734" max="9734" width="8.81640625" style="8" customWidth="1"/>
    <col min="9735" max="9735" width="3" style="8" customWidth="1"/>
    <col min="9736" max="9736" width="5.6328125" style="8" customWidth="1"/>
    <col min="9737" max="9737" width="3.1796875" style="8" customWidth="1"/>
    <col min="9738" max="9738" width="9.81640625" style="8" bestFit="1" customWidth="1"/>
    <col min="9739" max="9740" width="0" style="8" hidden="1" customWidth="1"/>
    <col min="9741" max="9741" width="10.54296875" style="8" customWidth="1"/>
    <col min="9742" max="9742" width="11.453125" style="8" customWidth="1"/>
    <col min="9743" max="9743" width="0.90625" style="8" customWidth="1"/>
    <col min="9744" max="9744" width="8.90625" style="8"/>
    <col min="9745" max="9745" width="8.36328125" style="8" bestFit="1" customWidth="1"/>
    <col min="9746" max="9984" width="8.90625" style="8"/>
    <col min="9985" max="9985" width="1.36328125" style="8" customWidth="1"/>
    <col min="9986" max="9986" width="11.54296875" style="8" customWidth="1"/>
    <col min="9987" max="9987" width="10.54296875" style="8" customWidth="1"/>
    <col min="9988" max="9988" width="12" style="8" customWidth="1"/>
    <col min="9989" max="9989" width="28" style="8" customWidth="1"/>
    <col min="9990" max="9990" width="8.81640625" style="8" customWidth="1"/>
    <col min="9991" max="9991" width="3" style="8" customWidth="1"/>
    <col min="9992" max="9992" width="5.6328125" style="8" customWidth="1"/>
    <col min="9993" max="9993" width="3.1796875" style="8" customWidth="1"/>
    <col min="9994" max="9994" width="9.81640625" style="8" bestFit="1" customWidth="1"/>
    <col min="9995" max="9996" width="0" style="8" hidden="1" customWidth="1"/>
    <col min="9997" max="9997" width="10.54296875" style="8" customWidth="1"/>
    <col min="9998" max="9998" width="11.453125" style="8" customWidth="1"/>
    <col min="9999" max="9999" width="0.90625" style="8" customWidth="1"/>
    <col min="10000" max="10000" width="8.90625" style="8"/>
    <col min="10001" max="10001" width="8.36328125" style="8" bestFit="1" customWidth="1"/>
    <col min="10002" max="10240" width="8.90625" style="8"/>
    <col min="10241" max="10241" width="1.36328125" style="8" customWidth="1"/>
    <col min="10242" max="10242" width="11.54296875" style="8" customWidth="1"/>
    <col min="10243" max="10243" width="10.54296875" style="8" customWidth="1"/>
    <col min="10244" max="10244" width="12" style="8" customWidth="1"/>
    <col min="10245" max="10245" width="28" style="8" customWidth="1"/>
    <col min="10246" max="10246" width="8.81640625" style="8" customWidth="1"/>
    <col min="10247" max="10247" width="3" style="8" customWidth="1"/>
    <col min="10248" max="10248" width="5.6328125" style="8" customWidth="1"/>
    <col min="10249" max="10249" width="3.1796875" style="8" customWidth="1"/>
    <col min="10250" max="10250" width="9.81640625" style="8" bestFit="1" customWidth="1"/>
    <col min="10251" max="10252" width="0" style="8" hidden="1" customWidth="1"/>
    <col min="10253" max="10253" width="10.54296875" style="8" customWidth="1"/>
    <col min="10254" max="10254" width="11.453125" style="8" customWidth="1"/>
    <col min="10255" max="10255" width="0.90625" style="8" customWidth="1"/>
    <col min="10256" max="10256" width="8.90625" style="8"/>
    <col min="10257" max="10257" width="8.36328125" style="8" bestFit="1" customWidth="1"/>
    <col min="10258" max="10496" width="8.90625" style="8"/>
    <col min="10497" max="10497" width="1.36328125" style="8" customWidth="1"/>
    <col min="10498" max="10498" width="11.54296875" style="8" customWidth="1"/>
    <col min="10499" max="10499" width="10.54296875" style="8" customWidth="1"/>
    <col min="10500" max="10500" width="12" style="8" customWidth="1"/>
    <col min="10501" max="10501" width="28" style="8" customWidth="1"/>
    <col min="10502" max="10502" width="8.81640625" style="8" customWidth="1"/>
    <col min="10503" max="10503" width="3" style="8" customWidth="1"/>
    <col min="10504" max="10504" width="5.6328125" style="8" customWidth="1"/>
    <col min="10505" max="10505" width="3.1796875" style="8" customWidth="1"/>
    <col min="10506" max="10506" width="9.81640625" style="8" bestFit="1" customWidth="1"/>
    <col min="10507" max="10508" width="0" style="8" hidden="1" customWidth="1"/>
    <col min="10509" max="10509" width="10.54296875" style="8" customWidth="1"/>
    <col min="10510" max="10510" width="11.453125" style="8" customWidth="1"/>
    <col min="10511" max="10511" width="0.90625" style="8" customWidth="1"/>
    <col min="10512" max="10512" width="8.90625" style="8"/>
    <col min="10513" max="10513" width="8.36328125" style="8" bestFit="1" customWidth="1"/>
    <col min="10514" max="10752" width="8.90625" style="8"/>
    <col min="10753" max="10753" width="1.36328125" style="8" customWidth="1"/>
    <col min="10754" max="10754" width="11.54296875" style="8" customWidth="1"/>
    <col min="10755" max="10755" width="10.54296875" style="8" customWidth="1"/>
    <col min="10756" max="10756" width="12" style="8" customWidth="1"/>
    <col min="10757" max="10757" width="28" style="8" customWidth="1"/>
    <col min="10758" max="10758" width="8.81640625" style="8" customWidth="1"/>
    <col min="10759" max="10759" width="3" style="8" customWidth="1"/>
    <col min="10760" max="10760" width="5.6328125" style="8" customWidth="1"/>
    <col min="10761" max="10761" width="3.1796875" style="8" customWidth="1"/>
    <col min="10762" max="10762" width="9.81640625" style="8" bestFit="1" customWidth="1"/>
    <col min="10763" max="10764" width="0" style="8" hidden="1" customWidth="1"/>
    <col min="10765" max="10765" width="10.54296875" style="8" customWidth="1"/>
    <col min="10766" max="10766" width="11.453125" style="8" customWidth="1"/>
    <col min="10767" max="10767" width="0.90625" style="8" customWidth="1"/>
    <col min="10768" max="10768" width="8.90625" style="8"/>
    <col min="10769" max="10769" width="8.36328125" style="8" bestFit="1" customWidth="1"/>
    <col min="10770" max="11008" width="8.90625" style="8"/>
    <col min="11009" max="11009" width="1.36328125" style="8" customWidth="1"/>
    <col min="11010" max="11010" width="11.54296875" style="8" customWidth="1"/>
    <col min="11011" max="11011" width="10.54296875" style="8" customWidth="1"/>
    <col min="11012" max="11012" width="12" style="8" customWidth="1"/>
    <col min="11013" max="11013" width="28" style="8" customWidth="1"/>
    <col min="11014" max="11014" width="8.81640625" style="8" customWidth="1"/>
    <col min="11015" max="11015" width="3" style="8" customWidth="1"/>
    <col min="11016" max="11016" width="5.6328125" style="8" customWidth="1"/>
    <col min="11017" max="11017" width="3.1796875" style="8" customWidth="1"/>
    <col min="11018" max="11018" width="9.81640625" style="8" bestFit="1" customWidth="1"/>
    <col min="11019" max="11020" width="0" style="8" hidden="1" customWidth="1"/>
    <col min="11021" max="11021" width="10.54296875" style="8" customWidth="1"/>
    <col min="11022" max="11022" width="11.453125" style="8" customWidth="1"/>
    <col min="11023" max="11023" width="0.90625" style="8" customWidth="1"/>
    <col min="11024" max="11024" width="8.90625" style="8"/>
    <col min="11025" max="11025" width="8.36328125" style="8" bestFit="1" customWidth="1"/>
    <col min="11026" max="11264" width="8.90625" style="8"/>
    <col min="11265" max="11265" width="1.36328125" style="8" customWidth="1"/>
    <col min="11266" max="11266" width="11.54296875" style="8" customWidth="1"/>
    <col min="11267" max="11267" width="10.54296875" style="8" customWidth="1"/>
    <col min="11268" max="11268" width="12" style="8" customWidth="1"/>
    <col min="11269" max="11269" width="28" style="8" customWidth="1"/>
    <col min="11270" max="11270" width="8.81640625" style="8" customWidth="1"/>
    <col min="11271" max="11271" width="3" style="8" customWidth="1"/>
    <col min="11272" max="11272" width="5.6328125" style="8" customWidth="1"/>
    <col min="11273" max="11273" width="3.1796875" style="8" customWidth="1"/>
    <col min="11274" max="11274" width="9.81640625" style="8" bestFit="1" customWidth="1"/>
    <col min="11275" max="11276" width="0" style="8" hidden="1" customWidth="1"/>
    <col min="11277" max="11277" width="10.54296875" style="8" customWidth="1"/>
    <col min="11278" max="11278" width="11.453125" style="8" customWidth="1"/>
    <col min="11279" max="11279" width="0.90625" style="8" customWidth="1"/>
    <col min="11280" max="11280" width="8.90625" style="8"/>
    <col min="11281" max="11281" width="8.36328125" style="8" bestFit="1" customWidth="1"/>
    <col min="11282" max="11520" width="8.90625" style="8"/>
    <col min="11521" max="11521" width="1.36328125" style="8" customWidth="1"/>
    <col min="11522" max="11522" width="11.54296875" style="8" customWidth="1"/>
    <col min="11523" max="11523" width="10.54296875" style="8" customWidth="1"/>
    <col min="11524" max="11524" width="12" style="8" customWidth="1"/>
    <col min="11525" max="11525" width="28" style="8" customWidth="1"/>
    <col min="11526" max="11526" width="8.81640625" style="8" customWidth="1"/>
    <col min="11527" max="11527" width="3" style="8" customWidth="1"/>
    <col min="11528" max="11528" width="5.6328125" style="8" customWidth="1"/>
    <col min="11529" max="11529" width="3.1796875" style="8" customWidth="1"/>
    <col min="11530" max="11530" width="9.81640625" style="8" bestFit="1" customWidth="1"/>
    <col min="11531" max="11532" width="0" style="8" hidden="1" customWidth="1"/>
    <col min="11533" max="11533" width="10.54296875" style="8" customWidth="1"/>
    <col min="11534" max="11534" width="11.453125" style="8" customWidth="1"/>
    <col min="11535" max="11535" width="0.90625" style="8" customWidth="1"/>
    <col min="11536" max="11536" width="8.90625" style="8"/>
    <col min="11537" max="11537" width="8.36328125" style="8" bestFit="1" customWidth="1"/>
    <col min="11538" max="11776" width="8.90625" style="8"/>
    <col min="11777" max="11777" width="1.36328125" style="8" customWidth="1"/>
    <col min="11778" max="11778" width="11.54296875" style="8" customWidth="1"/>
    <col min="11779" max="11779" width="10.54296875" style="8" customWidth="1"/>
    <col min="11780" max="11780" width="12" style="8" customWidth="1"/>
    <col min="11781" max="11781" width="28" style="8" customWidth="1"/>
    <col min="11782" max="11782" width="8.81640625" style="8" customWidth="1"/>
    <col min="11783" max="11783" width="3" style="8" customWidth="1"/>
    <col min="11784" max="11784" width="5.6328125" style="8" customWidth="1"/>
    <col min="11785" max="11785" width="3.1796875" style="8" customWidth="1"/>
    <col min="11786" max="11786" width="9.81640625" style="8" bestFit="1" customWidth="1"/>
    <col min="11787" max="11788" width="0" style="8" hidden="1" customWidth="1"/>
    <col min="11789" max="11789" width="10.54296875" style="8" customWidth="1"/>
    <col min="11790" max="11790" width="11.453125" style="8" customWidth="1"/>
    <col min="11791" max="11791" width="0.90625" style="8" customWidth="1"/>
    <col min="11792" max="11792" width="8.90625" style="8"/>
    <col min="11793" max="11793" width="8.36328125" style="8" bestFit="1" customWidth="1"/>
    <col min="11794" max="12032" width="8.90625" style="8"/>
    <col min="12033" max="12033" width="1.36328125" style="8" customWidth="1"/>
    <col min="12034" max="12034" width="11.54296875" style="8" customWidth="1"/>
    <col min="12035" max="12035" width="10.54296875" style="8" customWidth="1"/>
    <col min="12036" max="12036" width="12" style="8" customWidth="1"/>
    <col min="12037" max="12037" width="28" style="8" customWidth="1"/>
    <col min="12038" max="12038" width="8.81640625" style="8" customWidth="1"/>
    <col min="12039" max="12039" width="3" style="8" customWidth="1"/>
    <col min="12040" max="12040" width="5.6328125" style="8" customWidth="1"/>
    <col min="12041" max="12041" width="3.1796875" style="8" customWidth="1"/>
    <col min="12042" max="12042" width="9.81640625" style="8" bestFit="1" customWidth="1"/>
    <col min="12043" max="12044" width="0" style="8" hidden="1" customWidth="1"/>
    <col min="12045" max="12045" width="10.54296875" style="8" customWidth="1"/>
    <col min="12046" max="12046" width="11.453125" style="8" customWidth="1"/>
    <col min="12047" max="12047" width="0.90625" style="8" customWidth="1"/>
    <col min="12048" max="12048" width="8.90625" style="8"/>
    <col min="12049" max="12049" width="8.36328125" style="8" bestFit="1" customWidth="1"/>
    <col min="12050" max="12288" width="8.90625" style="8"/>
    <col min="12289" max="12289" width="1.36328125" style="8" customWidth="1"/>
    <col min="12290" max="12290" width="11.54296875" style="8" customWidth="1"/>
    <col min="12291" max="12291" width="10.54296875" style="8" customWidth="1"/>
    <col min="12292" max="12292" width="12" style="8" customWidth="1"/>
    <col min="12293" max="12293" width="28" style="8" customWidth="1"/>
    <col min="12294" max="12294" width="8.81640625" style="8" customWidth="1"/>
    <col min="12295" max="12295" width="3" style="8" customWidth="1"/>
    <col min="12296" max="12296" width="5.6328125" style="8" customWidth="1"/>
    <col min="12297" max="12297" width="3.1796875" style="8" customWidth="1"/>
    <col min="12298" max="12298" width="9.81640625" style="8" bestFit="1" customWidth="1"/>
    <col min="12299" max="12300" width="0" style="8" hidden="1" customWidth="1"/>
    <col min="12301" max="12301" width="10.54296875" style="8" customWidth="1"/>
    <col min="12302" max="12302" width="11.453125" style="8" customWidth="1"/>
    <col min="12303" max="12303" width="0.90625" style="8" customWidth="1"/>
    <col min="12304" max="12304" width="8.90625" style="8"/>
    <col min="12305" max="12305" width="8.36328125" style="8" bestFit="1" customWidth="1"/>
    <col min="12306" max="12544" width="8.90625" style="8"/>
    <col min="12545" max="12545" width="1.36328125" style="8" customWidth="1"/>
    <col min="12546" max="12546" width="11.54296875" style="8" customWidth="1"/>
    <col min="12547" max="12547" width="10.54296875" style="8" customWidth="1"/>
    <col min="12548" max="12548" width="12" style="8" customWidth="1"/>
    <col min="12549" max="12549" width="28" style="8" customWidth="1"/>
    <col min="12550" max="12550" width="8.81640625" style="8" customWidth="1"/>
    <col min="12551" max="12551" width="3" style="8" customWidth="1"/>
    <col min="12552" max="12552" width="5.6328125" style="8" customWidth="1"/>
    <col min="12553" max="12553" width="3.1796875" style="8" customWidth="1"/>
    <col min="12554" max="12554" width="9.81640625" style="8" bestFit="1" customWidth="1"/>
    <col min="12555" max="12556" width="0" style="8" hidden="1" customWidth="1"/>
    <col min="12557" max="12557" width="10.54296875" style="8" customWidth="1"/>
    <col min="12558" max="12558" width="11.453125" style="8" customWidth="1"/>
    <col min="12559" max="12559" width="0.90625" style="8" customWidth="1"/>
    <col min="12560" max="12560" width="8.90625" style="8"/>
    <col min="12561" max="12561" width="8.36328125" style="8" bestFit="1" customWidth="1"/>
    <col min="12562" max="12800" width="8.90625" style="8"/>
    <col min="12801" max="12801" width="1.36328125" style="8" customWidth="1"/>
    <col min="12802" max="12802" width="11.54296875" style="8" customWidth="1"/>
    <col min="12803" max="12803" width="10.54296875" style="8" customWidth="1"/>
    <col min="12804" max="12804" width="12" style="8" customWidth="1"/>
    <col min="12805" max="12805" width="28" style="8" customWidth="1"/>
    <col min="12806" max="12806" width="8.81640625" style="8" customWidth="1"/>
    <col min="12807" max="12807" width="3" style="8" customWidth="1"/>
    <col min="12808" max="12808" width="5.6328125" style="8" customWidth="1"/>
    <col min="12809" max="12809" width="3.1796875" style="8" customWidth="1"/>
    <col min="12810" max="12810" width="9.81640625" style="8" bestFit="1" customWidth="1"/>
    <col min="12811" max="12812" width="0" style="8" hidden="1" customWidth="1"/>
    <col min="12813" max="12813" width="10.54296875" style="8" customWidth="1"/>
    <col min="12814" max="12814" width="11.453125" style="8" customWidth="1"/>
    <col min="12815" max="12815" width="0.90625" style="8" customWidth="1"/>
    <col min="12816" max="12816" width="8.90625" style="8"/>
    <col min="12817" max="12817" width="8.36328125" style="8" bestFit="1" customWidth="1"/>
    <col min="12818" max="13056" width="8.90625" style="8"/>
    <col min="13057" max="13057" width="1.36328125" style="8" customWidth="1"/>
    <col min="13058" max="13058" width="11.54296875" style="8" customWidth="1"/>
    <col min="13059" max="13059" width="10.54296875" style="8" customWidth="1"/>
    <col min="13060" max="13060" width="12" style="8" customWidth="1"/>
    <col min="13061" max="13061" width="28" style="8" customWidth="1"/>
    <col min="13062" max="13062" width="8.81640625" style="8" customWidth="1"/>
    <col min="13063" max="13063" width="3" style="8" customWidth="1"/>
    <col min="13064" max="13064" width="5.6328125" style="8" customWidth="1"/>
    <col min="13065" max="13065" width="3.1796875" style="8" customWidth="1"/>
    <col min="13066" max="13066" width="9.81640625" style="8" bestFit="1" customWidth="1"/>
    <col min="13067" max="13068" width="0" style="8" hidden="1" customWidth="1"/>
    <col min="13069" max="13069" width="10.54296875" style="8" customWidth="1"/>
    <col min="13070" max="13070" width="11.453125" style="8" customWidth="1"/>
    <col min="13071" max="13071" width="0.90625" style="8" customWidth="1"/>
    <col min="13072" max="13072" width="8.90625" style="8"/>
    <col min="13073" max="13073" width="8.36328125" style="8" bestFit="1" customWidth="1"/>
    <col min="13074" max="13312" width="8.90625" style="8"/>
    <col min="13313" max="13313" width="1.36328125" style="8" customWidth="1"/>
    <col min="13314" max="13314" width="11.54296875" style="8" customWidth="1"/>
    <col min="13315" max="13315" width="10.54296875" style="8" customWidth="1"/>
    <col min="13316" max="13316" width="12" style="8" customWidth="1"/>
    <col min="13317" max="13317" width="28" style="8" customWidth="1"/>
    <col min="13318" max="13318" width="8.81640625" style="8" customWidth="1"/>
    <col min="13319" max="13319" width="3" style="8" customWidth="1"/>
    <col min="13320" max="13320" width="5.6328125" style="8" customWidth="1"/>
    <col min="13321" max="13321" width="3.1796875" style="8" customWidth="1"/>
    <col min="13322" max="13322" width="9.81640625" style="8" bestFit="1" customWidth="1"/>
    <col min="13323" max="13324" width="0" style="8" hidden="1" customWidth="1"/>
    <col min="13325" max="13325" width="10.54296875" style="8" customWidth="1"/>
    <col min="13326" max="13326" width="11.453125" style="8" customWidth="1"/>
    <col min="13327" max="13327" width="0.90625" style="8" customWidth="1"/>
    <col min="13328" max="13328" width="8.90625" style="8"/>
    <col min="13329" max="13329" width="8.36328125" style="8" bestFit="1" customWidth="1"/>
    <col min="13330" max="13568" width="8.90625" style="8"/>
    <col min="13569" max="13569" width="1.36328125" style="8" customWidth="1"/>
    <col min="13570" max="13570" width="11.54296875" style="8" customWidth="1"/>
    <col min="13571" max="13571" width="10.54296875" style="8" customWidth="1"/>
    <col min="13572" max="13572" width="12" style="8" customWidth="1"/>
    <col min="13573" max="13573" width="28" style="8" customWidth="1"/>
    <col min="13574" max="13574" width="8.81640625" style="8" customWidth="1"/>
    <col min="13575" max="13575" width="3" style="8" customWidth="1"/>
    <col min="13576" max="13576" width="5.6328125" style="8" customWidth="1"/>
    <col min="13577" max="13577" width="3.1796875" style="8" customWidth="1"/>
    <col min="13578" max="13578" width="9.81640625" style="8" bestFit="1" customWidth="1"/>
    <col min="13579" max="13580" width="0" style="8" hidden="1" customWidth="1"/>
    <col min="13581" max="13581" width="10.54296875" style="8" customWidth="1"/>
    <col min="13582" max="13582" width="11.453125" style="8" customWidth="1"/>
    <col min="13583" max="13583" width="0.90625" style="8" customWidth="1"/>
    <col min="13584" max="13584" width="8.90625" style="8"/>
    <col min="13585" max="13585" width="8.36328125" style="8" bestFit="1" customWidth="1"/>
    <col min="13586" max="13824" width="8.90625" style="8"/>
    <col min="13825" max="13825" width="1.36328125" style="8" customWidth="1"/>
    <col min="13826" max="13826" width="11.54296875" style="8" customWidth="1"/>
    <col min="13827" max="13827" width="10.54296875" style="8" customWidth="1"/>
    <col min="13828" max="13828" width="12" style="8" customWidth="1"/>
    <col min="13829" max="13829" width="28" style="8" customWidth="1"/>
    <col min="13830" max="13830" width="8.81640625" style="8" customWidth="1"/>
    <col min="13831" max="13831" width="3" style="8" customWidth="1"/>
    <col min="13832" max="13832" width="5.6328125" style="8" customWidth="1"/>
    <col min="13833" max="13833" width="3.1796875" style="8" customWidth="1"/>
    <col min="13834" max="13834" width="9.81640625" style="8" bestFit="1" customWidth="1"/>
    <col min="13835" max="13836" width="0" style="8" hidden="1" customWidth="1"/>
    <col min="13837" max="13837" width="10.54296875" style="8" customWidth="1"/>
    <col min="13838" max="13838" width="11.453125" style="8" customWidth="1"/>
    <col min="13839" max="13839" width="0.90625" style="8" customWidth="1"/>
    <col min="13840" max="13840" width="8.90625" style="8"/>
    <col min="13841" max="13841" width="8.36328125" style="8" bestFit="1" customWidth="1"/>
    <col min="13842" max="14080" width="8.90625" style="8"/>
    <col min="14081" max="14081" width="1.36328125" style="8" customWidth="1"/>
    <col min="14082" max="14082" width="11.54296875" style="8" customWidth="1"/>
    <col min="14083" max="14083" width="10.54296875" style="8" customWidth="1"/>
    <col min="14084" max="14084" width="12" style="8" customWidth="1"/>
    <col min="14085" max="14085" width="28" style="8" customWidth="1"/>
    <col min="14086" max="14086" width="8.81640625" style="8" customWidth="1"/>
    <col min="14087" max="14087" width="3" style="8" customWidth="1"/>
    <col min="14088" max="14088" width="5.6328125" style="8" customWidth="1"/>
    <col min="14089" max="14089" width="3.1796875" style="8" customWidth="1"/>
    <col min="14090" max="14090" width="9.81640625" style="8" bestFit="1" customWidth="1"/>
    <col min="14091" max="14092" width="0" style="8" hidden="1" customWidth="1"/>
    <col min="14093" max="14093" width="10.54296875" style="8" customWidth="1"/>
    <col min="14094" max="14094" width="11.453125" style="8" customWidth="1"/>
    <col min="14095" max="14095" width="0.90625" style="8" customWidth="1"/>
    <col min="14096" max="14096" width="8.90625" style="8"/>
    <col min="14097" max="14097" width="8.36328125" style="8" bestFit="1" customWidth="1"/>
    <col min="14098" max="14336" width="8.90625" style="8"/>
    <col min="14337" max="14337" width="1.36328125" style="8" customWidth="1"/>
    <col min="14338" max="14338" width="11.54296875" style="8" customWidth="1"/>
    <col min="14339" max="14339" width="10.54296875" style="8" customWidth="1"/>
    <col min="14340" max="14340" width="12" style="8" customWidth="1"/>
    <col min="14341" max="14341" width="28" style="8" customWidth="1"/>
    <col min="14342" max="14342" width="8.81640625" style="8" customWidth="1"/>
    <col min="14343" max="14343" width="3" style="8" customWidth="1"/>
    <col min="14344" max="14344" width="5.6328125" style="8" customWidth="1"/>
    <col min="14345" max="14345" width="3.1796875" style="8" customWidth="1"/>
    <col min="14346" max="14346" width="9.81640625" style="8" bestFit="1" customWidth="1"/>
    <col min="14347" max="14348" width="0" style="8" hidden="1" customWidth="1"/>
    <col min="14349" max="14349" width="10.54296875" style="8" customWidth="1"/>
    <col min="14350" max="14350" width="11.453125" style="8" customWidth="1"/>
    <col min="14351" max="14351" width="0.90625" style="8" customWidth="1"/>
    <col min="14352" max="14352" width="8.90625" style="8"/>
    <col min="14353" max="14353" width="8.36328125" style="8" bestFit="1" customWidth="1"/>
    <col min="14354" max="14592" width="8.90625" style="8"/>
    <col min="14593" max="14593" width="1.36328125" style="8" customWidth="1"/>
    <col min="14594" max="14594" width="11.54296875" style="8" customWidth="1"/>
    <col min="14595" max="14595" width="10.54296875" style="8" customWidth="1"/>
    <col min="14596" max="14596" width="12" style="8" customWidth="1"/>
    <col min="14597" max="14597" width="28" style="8" customWidth="1"/>
    <col min="14598" max="14598" width="8.81640625" style="8" customWidth="1"/>
    <col min="14599" max="14599" width="3" style="8" customWidth="1"/>
    <col min="14600" max="14600" width="5.6328125" style="8" customWidth="1"/>
    <col min="14601" max="14601" width="3.1796875" style="8" customWidth="1"/>
    <col min="14602" max="14602" width="9.81640625" style="8" bestFit="1" customWidth="1"/>
    <col min="14603" max="14604" width="0" style="8" hidden="1" customWidth="1"/>
    <col min="14605" max="14605" width="10.54296875" style="8" customWidth="1"/>
    <col min="14606" max="14606" width="11.453125" style="8" customWidth="1"/>
    <col min="14607" max="14607" width="0.90625" style="8" customWidth="1"/>
    <col min="14608" max="14608" width="8.90625" style="8"/>
    <col min="14609" max="14609" width="8.36328125" style="8" bestFit="1" customWidth="1"/>
    <col min="14610" max="14848" width="8.90625" style="8"/>
    <col min="14849" max="14849" width="1.36328125" style="8" customWidth="1"/>
    <col min="14850" max="14850" width="11.54296875" style="8" customWidth="1"/>
    <col min="14851" max="14851" width="10.54296875" style="8" customWidth="1"/>
    <col min="14852" max="14852" width="12" style="8" customWidth="1"/>
    <col min="14853" max="14853" width="28" style="8" customWidth="1"/>
    <col min="14854" max="14854" width="8.81640625" style="8" customWidth="1"/>
    <col min="14855" max="14855" width="3" style="8" customWidth="1"/>
    <col min="14856" max="14856" width="5.6328125" style="8" customWidth="1"/>
    <col min="14857" max="14857" width="3.1796875" style="8" customWidth="1"/>
    <col min="14858" max="14858" width="9.81640625" style="8" bestFit="1" customWidth="1"/>
    <col min="14859" max="14860" width="0" style="8" hidden="1" customWidth="1"/>
    <col min="14861" max="14861" width="10.54296875" style="8" customWidth="1"/>
    <col min="14862" max="14862" width="11.453125" style="8" customWidth="1"/>
    <col min="14863" max="14863" width="0.90625" style="8" customWidth="1"/>
    <col min="14864" max="14864" width="8.90625" style="8"/>
    <col min="14865" max="14865" width="8.36328125" style="8" bestFit="1" customWidth="1"/>
    <col min="14866" max="15104" width="8.90625" style="8"/>
    <col min="15105" max="15105" width="1.36328125" style="8" customWidth="1"/>
    <col min="15106" max="15106" width="11.54296875" style="8" customWidth="1"/>
    <col min="15107" max="15107" width="10.54296875" style="8" customWidth="1"/>
    <col min="15108" max="15108" width="12" style="8" customWidth="1"/>
    <col min="15109" max="15109" width="28" style="8" customWidth="1"/>
    <col min="15110" max="15110" width="8.81640625" style="8" customWidth="1"/>
    <col min="15111" max="15111" width="3" style="8" customWidth="1"/>
    <col min="15112" max="15112" width="5.6328125" style="8" customWidth="1"/>
    <col min="15113" max="15113" width="3.1796875" style="8" customWidth="1"/>
    <col min="15114" max="15114" width="9.81640625" style="8" bestFit="1" customWidth="1"/>
    <col min="15115" max="15116" width="0" style="8" hidden="1" customWidth="1"/>
    <col min="15117" max="15117" width="10.54296875" style="8" customWidth="1"/>
    <col min="15118" max="15118" width="11.453125" style="8" customWidth="1"/>
    <col min="15119" max="15119" width="0.90625" style="8" customWidth="1"/>
    <col min="15120" max="15120" width="8.90625" style="8"/>
    <col min="15121" max="15121" width="8.36328125" style="8" bestFit="1" customWidth="1"/>
    <col min="15122" max="15360" width="8.90625" style="8"/>
    <col min="15361" max="15361" width="1.36328125" style="8" customWidth="1"/>
    <col min="15362" max="15362" width="11.54296875" style="8" customWidth="1"/>
    <col min="15363" max="15363" width="10.54296875" style="8" customWidth="1"/>
    <col min="15364" max="15364" width="12" style="8" customWidth="1"/>
    <col min="15365" max="15365" width="28" style="8" customWidth="1"/>
    <col min="15366" max="15366" width="8.81640625" style="8" customWidth="1"/>
    <col min="15367" max="15367" width="3" style="8" customWidth="1"/>
    <col min="15368" max="15368" width="5.6328125" style="8" customWidth="1"/>
    <col min="15369" max="15369" width="3.1796875" style="8" customWidth="1"/>
    <col min="15370" max="15370" width="9.81640625" style="8" bestFit="1" customWidth="1"/>
    <col min="15371" max="15372" width="0" style="8" hidden="1" customWidth="1"/>
    <col min="15373" max="15373" width="10.54296875" style="8" customWidth="1"/>
    <col min="15374" max="15374" width="11.453125" style="8" customWidth="1"/>
    <col min="15375" max="15375" width="0.90625" style="8" customWidth="1"/>
    <col min="15376" max="15376" width="8.90625" style="8"/>
    <col min="15377" max="15377" width="8.36328125" style="8" bestFit="1" customWidth="1"/>
    <col min="15378" max="15616" width="8.90625" style="8"/>
    <col min="15617" max="15617" width="1.36328125" style="8" customWidth="1"/>
    <col min="15618" max="15618" width="11.54296875" style="8" customWidth="1"/>
    <col min="15619" max="15619" width="10.54296875" style="8" customWidth="1"/>
    <col min="15620" max="15620" width="12" style="8" customWidth="1"/>
    <col min="15621" max="15621" width="28" style="8" customWidth="1"/>
    <col min="15622" max="15622" width="8.81640625" style="8" customWidth="1"/>
    <col min="15623" max="15623" width="3" style="8" customWidth="1"/>
    <col min="15624" max="15624" width="5.6328125" style="8" customWidth="1"/>
    <col min="15625" max="15625" width="3.1796875" style="8" customWidth="1"/>
    <col min="15626" max="15626" width="9.81640625" style="8" bestFit="1" customWidth="1"/>
    <col min="15627" max="15628" width="0" style="8" hidden="1" customWidth="1"/>
    <col min="15629" max="15629" width="10.54296875" style="8" customWidth="1"/>
    <col min="15630" max="15630" width="11.453125" style="8" customWidth="1"/>
    <col min="15631" max="15631" width="0.90625" style="8" customWidth="1"/>
    <col min="15632" max="15632" width="8.90625" style="8"/>
    <col min="15633" max="15633" width="8.36328125" style="8" bestFit="1" customWidth="1"/>
    <col min="15634" max="15872" width="8.90625" style="8"/>
    <col min="15873" max="15873" width="1.36328125" style="8" customWidth="1"/>
    <col min="15874" max="15874" width="11.54296875" style="8" customWidth="1"/>
    <col min="15875" max="15875" width="10.54296875" style="8" customWidth="1"/>
    <col min="15876" max="15876" width="12" style="8" customWidth="1"/>
    <col min="15877" max="15877" width="28" style="8" customWidth="1"/>
    <col min="15878" max="15878" width="8.81640625" style="8" customWidth="1"/>
    <col min="15879" max="15879" width="3" style="8" customWidth="1"/>
    <col min="15880" max="15880" width="5.6328125" style="8" customWidth="1"/>
    <col min="15881" max="15881" width="3.1796875" style="8" customWidth="1"/>
    <col min="15882" max="15882" width="9.81640625" style="8" bestFit="1" customWidth="1"/>
    <col min="15883" max="15884" width="0" style="8" hidden="1" customWidth="1"/>
    <col min="15885" max="15885" width="10.54296875" style="8" customWidth="1"/>
    <col min="15886" max="15886" width="11.453125" style="8" customWidth="1"/>
    <col min="15887" max="15887" width="0.90625" style="8" customWidth="1"/>
    <col min="15888" max="15888" width="8.90625" style="8"/>
    <col min="15889" max="15889" width="8.36328125" style="8" bestFit="1" customWidth="1"/>
    <col min="15890" max="16128" width="8.90625" style="8"/>
    <col min="16129" max="16129" width="1.36328125" style="8" customWidth="1"/>
    <col min="16130" max="16130" width="11.54296875" style="8" customWidth="1"/>
    <col min="16131" max="16131" width="10.54296875" style="8" customWidth="1"/>
    <col min="16132" max="16132" width="12" style="8" customWidth="1"/>
    <col min="16133" max="16133" width="28" style="8" customWidth="1"/>
    <col min="16134" max="16134" width="8.81640625" style="8" customWidth="1"/>
    <col min="16135" max="16135" width="3" style="8" customWidth="1"/>
    <col min="16136" max="16136" width="5.6328125" style="8" customWidth="1"/>
    <col min="16137" max="16137" width="3.1796875" style="8" customWidth="1"/>
    <col min="16138" max="16138" width="9.81640625" style="8" bestFit="1" customWidth="1"/>
    <col min="16139" max="16140" width="0" style="8" hidden="1" customWidth="1"/>
    <col min="16141" max="16141" width="10.54296875" style="8" customWidth="1"/>
    <col min="16142" max="16142" width="11.453125" style="8" customWidth="1"/>
    <col min="16143" max="16143" width="0.90625" style="8" customWidth="1"/>
    <col min="16144" max="16144" width="8.90625" style="8"/>
    <col min="16145" max="16145" width="8.36328125" style="8" bestFit="1" customWidth="1"/>
    <col min="16146" max="16384" width="8.90625" style="8"/>
  </cols>
  <sheetData>
    <row r="1" spans="1:17" s="7" customFormat="1" x14ac:dyDescent="0.3">
      <c r="A1" s="2"/>
      <c r="B1" s="3" t="s">
        <v>11</v>
      </c>
      <c r="C1" s="4"/>
      <c r="D1" s="4"/>
      <c r="E1" s="5" t="s">
        <v>12</v>
      </c>
      <c r="F1" s="6"/>
      <c r="G1" s="5"/>
      <c r="I1" s="8"/>
      <c r="N1" s="4"/>
      <c r="O1" s="9"/>
      <c r="Q1" s="10"/>
    </row>
    <row r="2" spans="1:17" s="7" customFormat="1" x14ac:dyDescent="0.3">
      <c r="A2" s="2"/>
      <c r="B2" s="11" t="s">
        <v>13</v>
      </c>
      <c r="C2" s="4"/>
      <c r="D2" s="4"/>
      <c r="E2" s="8"/>
      <c r="F2" s="8" t="s">
        <v>14</v>
      </c>
      <c r="J2" s="12">
        <v>41866</v>
      </c>
      <c r="K2" s="4"/>
      <c r="L2" s="4"/>
      <c r="M2" s="12"/>
      <c r="N2" s="4"/>
      <c r="O2" s="9"/>
      <c r="Q2" s="10"/>
    </row>
    <row r="3" spans="1:17" s="7" customFormat="1" x14ac:dyDescent="0.3">
      <c r="A3" s="2"/>
      <c r="B3" s="11"/>
      <c r="C3" s="4"/>
      <c r="D3" s="4"/>
      <c r="E3" s="8"/>
      <c r="F3" s="8" t="s">
        <v>15</v>
      </c>
      <c r="J3" s="13">
        <v>360</v>
      </c>
      <c r="K3" s="14"/>
      <c r="L3" s="14"/>
      <c r="M3" s="13"/>
      <c r="N3" s="4"/>
      <c r="O3" s="9"/>
      <c r="Q3" s="10"/>
    </row>
    <row r="4" spans="1:17" s="7" customFormat="1" x14ac:dyDescent="0.3">
      <c r="A4" s="2"/>
      <c r="E4" s="8"/>
      <c r="F4" s="8" t="s">
        <v>16</v>
      </c>
      <c r="J4" s="15">
        <v>2500000</v>
      </c>
      <c r="K4" s="14"/>
      <c r="L4" s="14"/>
      <c r="M4" s="15"/>
      <c r="N4" s="4"/>
      <c r="O4" s="9"/>
      <c r="Q4" s="10"/>
    </row>
    <row r="5" spans="1:17" s="7" customFormat="1" x14ac:dyDescent="0.3">
      <c r="A5" s="2"/>
      <c r="B5" s="16"/>
      <c r="C5" s="16"/>
      <c r="D5" s="16"/>
      <c r="E5" s="17"/>
      <c r="F5" s="17" t="s">
        <v>17</v>
      </c>
      <c r="G5" s="16"/>
      <c r="H5" s="16"/>
      <c r="I5" s="16"/>
      <c r="J5" s="258">
        <v>0.02</v>
      </c>
      <c r="K5" s="259"/>
      <c r="L5" s="259"/>
      <c r="M5" s="258"/>
      <c r="N5" s="18"/>
      <c r="O5" s="9"/>
      <c r="Q5" s="10"/>
    </row>
    <row r="6" spans="1:17" s="7" customFormat="1" ht="13.2" x14ac:dyDescent="0.25">
      <c r="A6" s="19"/>
      <c r="B6" s="20"/>
      <c r="C6" s="20"/>
      <c r="D6" s="21"/>
      <c r="E6" s="21"/>
      <c r="F6" s="22"/>
      <c r="G6" s="21"/>
      <c r="H6" s="22"/>
      <c r="I6" s="21"/>
      <c r="J6" s="21"/>
      <c r="K6" s="21"/>
      <c r="L6" s="23" t="s">
        <v>18</v>
      </c>
      <c r="M6" s="22"/>
      <c r="N6" s="21"/>
      <c r="O6" s="24"/>
    </row>
    <row r="7" spans="1:17" s="7" customFormat="1" ht="15" customHeight="1" x14ac:dyDescent="0.25">
      <c r="A7" s="19"/>
      <c r="B7" s="20"/>
      <c r="C7" s="20"/>
      <c r="D7" s="21"/>
      <c r="E7" s="21"/>
      <c r="F7" s="25"/>
      <c r="G7" s="21"/>
      <c r="H7" s="25"/>
      <c r="I7" s="21"/>
      <c r="J7" s="21"/>
      <c r="K7" s="21"/>
      <c r="L7" s="23" t="s">
        <v>19</v>
      </c>
      <c r="M7" s="25"/>
      <c r="N7" s="21"/>
      <c r="O7" s="24"/>
    </row>
    <row r="8" spans="1:17" s="7" customFormat="1" ht="15" customHeight="1" x14ac:dyDescent="0.25">
      <c r="A8" s="19"/>
      <c r="B8" s="20"/>
      <c r="C8" s="20"/>
      <c r="D8" s="21"/>
      <c r="E8" s="21"/>
      <c r="F8" s="25" t="s">
        <v>20</v>
      </c>
      <c r="G8" s="21"/>
      <c r="H8" s="25" t="s">
        <v>21</v>
      </c>
      <c r="I8" s="21"/>
      <c r="J8" s="21"/>
      <c r="K8" s="21"/>
      <c r="L8" s="23" t="s">
        <v>22</v>
      </c>
      <c r="M8" s="25" t="s">
        <v>23</v>
      </c>
      <c r="N8" s="21"/>
      <c r="O8" s="24"/>
    </row>
    <row r="9" spans="1:17" s="7" customFormat="1" ht="15" customHeight="1" x14ac:dyDescent="0.25">
      <c r="A9" s="19"/>
      <c r="B9" s="26" t="s">
        <v>24</v>
      </c>
      <c r="C9" s="26" t="s">
        <v>25</v>
      </c>
      <c r="D9" s="27" t="s">
        <v>26</v>
      </c>
      <c r="E9" s="27" t="s">
        <v>27</v>
      </c>
      <c r="F9" s="26" t="s">
        <v>28</v>
      </c>
      <c r="G9" s="28"/>
      <c r="H9" s="27" t="s">
        <v>29</v>
      </c>
      <c r="I9" s="28"/>
      <c r="J9" s="27" t="s">
        <v>19</v>
      </c>
      <c r="K9" s="27" t="s">
        <v>30</v>
      </c>
      <c r="L9" s="27" t="s">
        <v>31</v>
      </c>
      <c r="M9" s="26" t="s">
        <v>2</v>
      </c>
      <c r="N9" s="27" t="s">
        <v>23</v>
      </c>
      <c r="O9" s="24"/>
    </row>
    <row r="10" spans="1:17" s="7" customFormat="1" ht="5.25" customHeight="1" x14ac:dyDescent="0.25">
      <c r="A10" s="19"/>
      <c r="B10" s="20"/>
      <c r="C10" s="20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4"/>
    </row>
    <row r="11" spans="1:17" s="35" customFormat="1" ht="12.75" hidden="1" customHeight="1" x14ac:dyDescent="0.25">
      <c r="A11" s="29"/>
      <c r="B11" s="30">
        <v>36053</v>
      </c>
      <c r="C11" s="30">
        <v>36418</v>
      </c>
      <c r="D11" s="31">
        <v>0</v>
      </c>
      <c r="E11" s="32" t="s">
        <v>32</v>
      </c>
      <c r="F11" s="33">
        <f>DAYS360(B11,C11)</f>
        <v>360</v>
      </c>
      <c r="G11" s="21"/>
      <c r="H11" s="34">
        <v>2.5000000000000001E-3</v>
      </c>
      <c r="I11" s="21"/>
      <c r="J11" s="21">
        <f>D11*H11*F11/360</f>
        <v>0</v>
      </c>
      <c r="K11" s="21"/>
      <c r="L11" s="21"/>
      <c r="M11" s="21"/>
      <c r="N11" s="21"/>
      <c r="O11" s="24"/>
    </row>
    <row r="12" spans="1:17" s="7" customFormat="1" ht="15" hidden="1" customHeight="1" x14ac:dyDescent="0.25">
      <c r="A12" s="19"/>
      <c r="B12" s="30"/>
      <c r="C12" s="30"/>
      <c r="D12" s="31"/>
      <c r="E12" s="32"/>
      <c r="F12" s="33"/>
      <c r="G12" s="21"/>
      <c r="H12" s="34"/>
      <c r="I12" s="21"/>
      <c r="J12" s="21"/>
      <c r="K12" s="21"/>
      <c r="L12" s="21"/>
      <c r="M12" s="21">
        <f>SUM(J11:J12)</f>
        <v>0</v>
      </c>
      <c r="N12" s="32" t="s">
        <v>33</v>
      </c>
      <c r="O12" s="24"/>
    </row>
    <row r="13" spans="1:17" s="7" customFormat="1" ht="15" hidden="1" customHeight="1" x14ac:dyDescent="0.25">
      <c r="A13" s="19"/>
      <c r="B13" s="30"/>
      <c r="C13" s="30"/>
      <c r="D13" s="31"/>
      <c r="E13" s="32"/>
      <c r="F13" s="33"/>
      <c r="G13" s="21"/>
      <c r="H13" s="34"/>
      <c r="I13" s="21"/>
      <c r="J13" s="21"/>
      <c r="K13" s="21"/>
      <c r="L13" s="21"/>
      <c r="M13" s="21"/>
      <c r="N13" s="32"/>
      <c r="O13" s="24"/>
    </row>
    <row r="14" spans="1:17" s="35" customFormat="1" ht="12.75" hidden="1" customHeight="1" x14ac:dyDescent="0.25">
      <c r="A14" s="19"/>
      <c r="B14" s="30">
        <f>C11</f>
        <v>36418</v>
      </c>
      <c r="C14" s="30">
        <v>36784</v>
      </c>
      <c r="D14" s="31">
        <f>D11</f>
        <v>0</v>
      </c>
      <c r="E14" s="22" t="s">
        <v>34</v>
      </c>
      <c r="F14" s="33">
        <f>DAYS360(B14,C14)</f>
        <v>360</v>
      </c>
      <c r="G14" s="21"/>
      <c r="H14" s="34">
        <v>2.5000000000000001E-3</v>
      </c>
      <c r="I14" s="21"/>
      <c r="J14" s="21">
        <f>D14*H14*F14/360</f>
        <v>0</v>
      </c>
      <c r="K14" s="21"/>
      <c r="L14" s="21"/>
      <c r="M14" s="21"/>
      <c r="N14" s="21"/>
      <c r="O14" s="24"/>
    </row>
    <row r="15" spans="1:17" s="35" customFormat="1" ht="12.75" hidden="1" customHeight="1" x14ac:dyDescent="0.25">
      <c r="A15" s="29"/>
      <c r="B15" s="30"/>
      <c r="C15" s="30"/>
      <c r="D15" s="31"/>
      <c r="E15" s="32"/>
      <c r="F15" s="33"/>
      <c r="G15" s="21"/>
      <c r="H15" s="34"/>
      <c r="I15" s="21"/>
      <c r="J15" s="21"/>
      <c r="K15" s="21"/>
      <c r="L15" s="21"/>
      <c r="M15" s="21">
        <f>SUM(J14:J15)</f>
        <v>0</v>
      </c>
      <c r="N15" s="36" t="s">
        <v>35</v>
      </c>
      <c r="O15" s="24"/>
    </row>
    <row r="16" spans="1:17" s="7" customFormat="1" ht="15" hidden="1" customHeight="1" x14ac:dyDescent="0.25">
      <c r="A16" s="29"/>
      <c r="B16" s="30"/>
      <c r="C16" s="30"/>
      <c r="D16" s="31"/>
      <c r="E16" s="32"/>
      <c r="F16" s="33"/>
      <c r="G16" s="21"/>
      <c r="H16" s="34"/>
      <c r="I16" s="21"/>
      <c r="J16" s="21"/>
      <c r="K16" s="21"/>
      <c r="L16" s="21"/>
      <c r="M16" s="21"/>
      <c r="N16" s="21"/>
      <c r="O16" s="24"/>
    </row>
    <row r="17" spans="1:17" s="35" customFormat="1" ht="12.75" hidden="1" customHeight="1" x14ac:dyDescent="0.25">
      <c r="A17" s="19"/>
      <c r="B17" s="30">
        <f>C14</f>
        <v>36784</v>
      </c>
      <c r="C17" s="37">
        <v>37149</v>
      </c>
      <c r="D17" s="38">
        <f>D14</f>
        <v>0</v>
      </c>
      <c r="E17" s="22" t="s">
        <v>34</v>
      </c>
      <c r="F17" s="33">
        <f>DAYS360(B17,C17)</f>
        <v>360</v>
      </c>
      <c r="G17" s="21"/>
      <c r="H17" s="34">
        <v>2.5000000000000001E-3</v>
      </c>
      <c r="I17" s="21"/>
      <c r="J17" s="21">
        <f>D17*H17*F17/360</f>
        <v>0</v>
      </c>
      <c r="K17" s="21"/>
      <c r="L17" s="21"/>
      <c r="M17" s="21"/>
      <c r="N17" s="21"/>
      <c r="O17" s="24"/>
    </row>
    <row r="18" spans="1:17" s="7" customFormat="1" ht="15" hidden="1" customHeight="1" x14ac:dyDescent="0.25">
      <c r="A18" s="29"/>
      <c r="B18" s="30"/>
      <c r="C18" s="30"/>
      <c r="D18" s="31"/>
      <c r="E18" s="32"/>
      <c r="F18" s="33"/>
      <c r="G18" s="21"/>
      <c r="H18" s="34"/>
      <c r="I18" s="21"/>
      <c r="J18" s="21"/>
      <c r="K18" s="21"/>
      <c r="L18" s="21"/>
      <c r="M18" s="21">
        <f>SUM(J17:J18)</f>
        <v>0</v>
      </c>
      <c r="N18" s="36" t="s">
        <v>36</v>
      </c>
      <c r="O18" s="24"/>
    </row>
    <row r="19" spans="1:17" s="7" customFormat="1" ht="15" hidden="1" customHeight="1" x14ac:dyDescent="0.25">
      <c r="A19" s="19"/>
      <c r="B19" s="30"/>
      <c r="C19" s="30"/>
      <c r="D19" s="31"/>
      <c r="E19" s="32"/>
      <c r="F19" s="33"/>
      <c r="G19" s="21"/>
      <c r="H19" s="34"/>
      <c r="I19" s="21"/>
      <c r="J19" s="21"/>
      <c r="K19" s="21"/>
      <c r="L19" s="21"/>
      <c r="M19" s="21"/>
      <c r="N19" s="21"/>
      <c r="O19" s="24"/>
      <c r="Q19" s="10"/>
    </row>
    <row r="20" spans="1:17" s="7" customFormat="1" ht="15" hidden="1" customHeight="1" x14ac:dyDescent="0.25">
      <c r="A20" s="19"/>
      <c r="B20" s="30">
        <f>C17</f>
        <v>37149</v>
      </c>
      <c r="C20" s="30">
        <v>37514</v>
      </c>
      <c r="D20" s="31">
        <f>D17</f>
        <v>0</v>
      </c>
      <c r="E20" s="32" t="s">
        <v>34</v>
      </c>
      <c r="F20" s="33">
        <f>DAYS360(B20,C20)</f>
        <v>360</v>
      </c>
      <c r="G20" s="21"/>
      <c r="H20" s="34">
        <v>2.5000000000000001E-3</v>
      </c>
      <c r="I20" s="21"/>
      <c r="J20" s="21">
        <f>D20*H20*F20/360</f>
        <v>0</v>
      </c>
      <c r="K20" s="21"/>
      <c r="L20" s="21"/>
      <c r="M20" s="21"/>
      <c r="N20" s="21"/>
      <c r="O20" s="24"/>
      <c r="Q20" s="39"/>
    </row>
    <row r="21" spans="1:17" s="7" customFormat="1" ht="15" hidden="1" customHeight="1" x14ac:dyDescent="0.25">
      <c r="A21" s="19"/>
      <c r="B21" s="30"/>
      <c r="C21" s="30"/>
      <c r="D21" s="31"/>
      <c r="E21" s="22"/>
      <c r="F21" s="33"/>
      <c r="G21" s="22"/>
      <c r="H21" s="34"/>
      <c r="I21" s="22"/>
      <c r="J21" s="21"/>
      <c r="K21" s="21"/>
      <c r="L21" s="21"/>
      <c r="M21" s="21">
        <f>SUM(J20:J21)</f>
        <v>0</v>
      </c>
      <c r="N21" s="36" t="s">
        <v>37</v>
      </c>
      <c r="O21" s="24"/>
      <c r="Q21" s="10"/>
    </row>
    <row r="22" spans="1:17" s="7" customFormat="1" ht="4.5" hidden="1" customHeight="1" x14ac:dyDescent="0.25">
      <c r="A22" s="19"/>
      <c r="B22" s="30"/>
      <c r="C22" s="30"/>
      <c r="D22" s="38"/>
      <c r="E22" s="22"/>
      <c r="F22" s="40"/>
      <c r="G22" s="22"/>
      <c r="H22" s="34"/>
      <c r="I22" s="22"/>
      <c r="J22" s="21"/>
      <c r="K22" s="21"/>
      <c r="L22" s="21"/>
      <c r="M22" s="21"/>
      <c r="N22" s="21"/>
      <c r="O22" s="24"/>
      <c r="Q22" s="10"/>
    </row>
    <row r="23" spans="1:17" s="7" customFormat="1" ht="15" hidden="1" customHeight="1" x14ac:dyDescent="0.25">
      <c r="A23" s="19"/>
      <c r="B23" s="30">
        <v>38128</v>
      </c>
      <c r="C23" s="30">
        <v>38303</v>
      </c>
      <c r="D23" s="38"/>
      <c r="E23" s="32" t="s">
        <v>38</v>
      </c>
      <c r="F23" s="33">
        <f>DAYS360(B23,C23)</f>
        <v>171</v>
      </c>
      <c r="G23" s="21"/>
      <c r="H23" s="34">
        <v>2.1499999999999998E-2</v>
      </c>
      <c r="I23" s="21"/>
      <c r="J23" s="21">
        <f>D23*H23*F23/360</f>
        <v>0</v>
      </c>
      <c r="K23" s="21">
        <v>0</v>
      </c>
      <c r="L23" s="21">
        <f>J23-K23</f>
        <v>0</v>
      </c>
      <c r="M23" s="21"/>
      <c r="N23" s="21"/>
      <c r="O23" s="24"/>
      <c r="Q23" s="10"/>
    </row>
    <row r="24" spans="1:17" s="35" customFormat="1" ht="12.75" hidden="1" customHeight="1" x14ac:dyDescent="0.25">
      <c r="A24" s="29"/>
      <c r="B24" s="41"/>
      <c r="C24" s="41"/>
      <c r="D24" s="42"/>
      <c r="E24" s="43"/>
      <c r="F24" s="44"/>
      <c r="G24" s="45"/>
      <c r="H24" s="46"/>
      <c r="I24" s="45"/>
      <c r="J24" s="45"/>
      <c r="K24" s="45"/>
      <c r="L24" s="45"/>
      <c r="M24" s="45"/>
      <c r="N24" s="45"/>
      <c r="O24" s="47"/>
      <c r="Q24" s="48"/>
    </row>
    <row r="25" spans="1:17" s="7" customFormat="1" ht="15" hidden="1" customHeight="1" x14ac:dyDescent="0.25">
      <c r="A25" s="19"/>
      <c r="B25" s="30"/>
      <c r="C25" s="30"/>
      <c r="D25" s="38"/>
      <c r="E25" s="22"/>
      <c r="F25" s="33"/>
      <c r="G25" s="21"/>
      <c r="H25" s="34"/>
      <c r="I25" s="21"/>
      <c r="J25" s="21"/>
      <c r="K25" s="21"/>
      <c r="L25" s="21"/>
      <c r="M25" s="21">
        <f>SUM(L22:L25)</f>
        <v>0</v>
      </c>
      <c r="N25" s="36" t="s">
        <v>39</v>
      </c>
      <c r="O25" s="24"/>
      <c r="Q25" s="10"/>
    </row>
    <row r="26" spans="1:17" s="7" customFormat="1" ht="15" hidden="1" customHeight="1" x14ac:dyDescent="0.25">
      <c r="A26" s="19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49"/>
      <c r="Q26" s="10"/>
    </row>
    <row r="27" spans="1:17" s="7" customFormat="1" ht="15" hidden="1" customHeight="1" x14ac:dyDescent="0.25">
      <c r="A27" s="19"/>
      <c r="B27" s="30">
        <f>C23</f>
        <v>38303</v>
      </c>
      <c r="C27" s="37">
        <v>38666</v>
      </c>
      <c r="D27" s="38"/>
      <c r="E27" s="32" t="s">
        <v>40</v>
      </c>
      <c r="F27" s="33">
        <f>DAYS360(B27,C27)</f>
        <v>358</v>
      </c>
      <c r="G27" s="22"/>
      <c r="H27" s="34">
        <v>3.2500000000000001E-2</v>
      </c>
      <c r="I27" s="22"/>
      <c r="J27" s="21">
        <f>D27*H27*F27/360</f>
        <v>0</v>
      </c>
      <c r="K27" s="21">
        <v>0</v>
      </c>
      <c r="L27" s="21">
        <f>J27-K27</f>
        <v>0</v>
      </c>
      <c r="M27" s="21"/>
      <c r="N27" s="21"/>
      <c r="O27" s="24"/>
      <c r="Q27" s="10"/>
    </row>
    <row r="28" spans="1:17" s="35" customFormat="1" ht="12.75" hidden="1" customHeight="1" x14ac:dyDescent="0.25">
      <c r="A28" s="29"/>
      <c r="B28" s="41"/>
      <c r="C28" s="50"/>
      <c r="D28" s="42"/>
      <c r="E28" s="43"/>
      <c r="F28" s="44"/>
      <c r="G28" s="51"/>
      <c r="H28" s="46"/>
      <c r="I28" s="51"/>
      <c r="J28" s="45"/>
      <c r="K28" s="45"/>
      <c r="L28" s="45"/>
      <c r="M28" s="45"/>
      <c r="N28" s="45"/>
      <c r="O28" s="47"/>
      <c r="Q28" s="48"/>
    </row>
    <row r="29" spans="1:17" s="7" customFormat="1" ht="15" hidden="1" customHeight="1" x14ac:dyDescent="0.25">
      <c r="A29" s="19"/>
      <c r="B29" s="30">
        <v>38483</v>
      </c>
      <c r="C29" s="30">
        <v>38666</v>
      </c>
      <c r="D29" s="38"/>
      <c r="E29" s="22" t="s">
        <v>38</v>
      </c>
      <c r="F29" s="22">
        <f>DAYS360(B29,C29)</f>
        <v>179</v>
      </c>
      <c r="G29" s="22"/>
      <c r="H29" s="34">
        <v>3.5000000000000003E-2</v>
      </c>
      <c r="I29" s="22"/>
      <c r="J29" s="21">
        <f>D29*H29*F29/360</f>
        <v>0</v>
      </c>
      <c r="K29" s="21">
        <v>0</v>
      </c>
      <c r="L29" s="21">
        <f>J29-K29</f>
        <v>0</v>
      </c>
      <c r="M29" s="22"/>
      <c r="N29" s="22"/>
      <c r="O29" s="24"/>
      <c r="Q29" s="10"/>
    </row>
    <row r="30" spans="1:17" s="7" customFormat="1" ht="15" hidden="1" customHeight="1" x14ac:dyDescent="0.25">
      <c r="A30" s="19"/>
      <c r="B30" s="30"/>
      <c r="C30" s="30"/>
      <c r="D30" s="38"/>
      <c r="E30" s="22" t="s">
        <v>38</v>
      </c>
      <c r="F30" s="22">
        <f>DAYS360(B30,C30)</f>
        <v>0</v>
      </c>
      <c r="G30" s="22"/>
      <c r="H30" s="34">
        <v>0.04</v>
      </c>
      <c r="I30" s="22"/>
      <c r="J30" s="21">
        <f>D30*H30*F30/360</f>
        <v>0</v>
      </c>
      <c r="K30" s="21">
        <v>0</v>
      </c>
      <c r="L30" s="21">
        <f>J30-K30</f>
        <v>0</v>
      </c>
      <c r="M30" s="22"/>
      <c r="N30" s="22"/>
      <c r="O30" s="24"/>
      <c r="Q30" s="10"/>
    </row>
    <row r="31" spans="1:17" s="7" customFormat="1" ht="15" hidden="1" customHeight="1" x14ac:dyDescent="0.25">
      <c r="A31" s="19"/>
      <c r="B31" s="30"/>
      <c r="C31" s="30"/>
      <c r="D31" s="38"/>
      <c r="E31" s="22"/>
      <c r="F31" s="22"/>
      <c r="G31" s="22"/>
      <c r="H31" s="34"/>
      <c r="I31" s="22"/>
      <c r="J31" s="21"/>
      <c r="K31" s="21"/>
      <c r="L31" s="21"/>
      <c r="M31" s="21">
        <f>SUM(L26:L31)</f>
        <v>0</v>
      </c>
      <c r="N31" s="36" t="s">
        <v>41</v>
      </c>
      <c r="O31" s="24"/>
      <c r="Q31" s="10"/>
    </row>
    <row r="32" spans="1:17" s="7" customFormat="1" ht="15" hidden="1" customHeight="1" x14ac:dyDescent="0.25">
      <c r="A32" s="19"/>
      <c r="B32" s="30"/>
      <c r="C32" s="30"/>
      <c r="D32" s="38"/>
      <c r="E32" s="22"/>
      <c r="F32" s="22"/>
      <c r="G32" s="21"/>
      <c r="H32" s="34"/>
      <c r="I32" s="21"/>
      <c r="J32" s="21"/>
      <c r="K32" s="21"/>
      <c r="L32" s="21"/>
      <c r="M32" s="21"/>
      <c r="N32" s="21"/>
      <c r="O32" s="24"/>
      <c r="Q32" s="10"/>
    </row>
    <row r="33" spans="1:17" s="7" customFormat="1" ht="15" hidden="1" customHeight="1" x14ac:dyDescent="0.25">
      <c r="A33" s="19"/>
      <c r="B33" s="30">
        <v>38569</v>
      </c>
      <c r="C33" s="30">
        <v>38933</v>
      </c>
      <c r="D33" s="38"/>
      <c r="E33" s="22" t="s">
        <v>38</v>
      </c>
      <c r="F33" s="22">
        <f>DAYS360(B33,C33)</f>
        <v>359</v>
      </c>
      <c r="G33" s="22"/>
      <c r="H33" s="34">
        <v>0.04</v>
      </c>
      <c r="I33" s="22"/>
      <c r="J33" s="21">
        <f>D33*H33*F33/360</f>
        <v>0</v>
      </c>
      <c r="K33" s="21">
        <v>0</v>
      </c>
      <c r="L33" s="21">
        <f>J33-K33</f>
        <v>0</v>
      </c>
      <c r="M33" s="22"/>
      <c r="N33" s="22"/>
      <c r="O33" s="24"/>
      <c r="Q33" s="10"/>
    </row>
    <row r="34" spans="1:17" s="7" customFormat="1" ht="15" hidden="1" customHeight="1" x14ac:dyDescent="0.25">
      <c r="A34" s="19"/>
      <c r="B34" s="30">
        <v>38666</v>
      </c>
      <c r="C34" s="30">
        <v>38933</v>
      </c>
      <c r="D34" s="38"/>
      <c r="E34" s="22" t="s">
        <v>40</v>
      </c>
      <c r="F34" s="33">
        <f>DAYS360(B34,C34)</f>
        <v>264</v>
      </c>
      <c r="G34" s="22"/>
      <c r="H34" s="34">
        <v>4.4999999999999998E-2</v>
      </c>
      <c r="I34" s="22"/>
      <c r="J34" s="21">
        <f>D34*H34*F34/360</f>
        <v>0</v>
      </c>
      <c r="K34" s="21">
        <f>60800*(D34/6080000)</f>
        <v>0</v>
      </c>
      <c r="L34" s="21">
        <f>J34-K34</f>
        <v>0</v>
      </c>
      <c r="M34" s="22"/>
      <c r="N34" s="22"/>
      <c r="O34" s="24"/>
      <c r="Q34" s="10"/>
    </row>
    <row r="35" spans="1:17" s="7" customFormat="1" ht="15" hidden="1" customHeight="1" x14ac:dyDescent="0.25">
      <c r="A35" s="19"/>
      <c r="B35" s="30">
        <v>38596</v>
      </c>
      <c r="C35" s="30">
        <v>38961</v>
      </c>
      <c r="D35" s="38"/>
      <c r="E35" s="22" t="s">
        <v>42</v>
      </c>
      <c r="F35" s="33">
        <f>DAYS360(B35,C35)</f>
        <v>360</v>
      </c>
      <c r="G35" s="22"/>
      <c r="H35" s="34">
        <f>H29+0.0025</f>
        <v>3.7500000000000006E-2</v>
      </c>
      <c r="I35" s="22"/>
      <c r="J35" s="21">
        <f>D35*H35*F35/360</f>
        <v>0</v>
      </c>
      <c r="K35" s="21">
        <v>0</v>
      </c>
      <c r="L35" s="21">
        <f>J35-K35</f>
        <v>0</v>
      </c>
      <c r="M35" s="22"/>
      <c r="N35" s="22"/>
      <c r="O35" s="24"/>
      <c r="Q35" s="10"/>
    </row>
    <row r="36" spans="1:17" s="35" customFormat="1" ht="12.75" hidden="1" customHeight="1" x14ac:dyDescent="0.25">
      <c r="A36" s="29"/>
      <c r="B36" s="41"/>
      <c r="C36" s="41"/>
      <c r="D36" s="42"/>
      <c r="E36" s="51"/>
      <c r="F36" s="44"/>
      <c r="G36" s="51"/>
      <c r="H36" s="46"/>
      <c r="I36" s="51"/>
      <c r="J36" s="45"/>
      <c r="K36" s="45"/>
      <c r="L36" s="45"/>
      <c r="M36" s="51"/>
      <c r="N36" s="51"/>
      <c r="O36" s="47"/>
      <c r="Q36" s="48"/>
    </row>
    <row r="37" spans="1:17" s="7" customFormat="1" ht="12.75" hidden="1" customHeight="1" x14ac:dyDescent="0.25">
      <c r="A37" s="19"/>
      <c r="B37" s="30"/>
      <c r="C37" s="30"/>
      <c r="D37" s="38"/>
      <c r="E37" s="22"/>
      <c r="F37" s="33"/>
      <c r="G37" s="22"/>
      <c r="H37" s="34"/>
      <c r="I37" s="22"/>
      <c r="J37" s="21"/>
      <c r="K37" s="21"/>
      <c r="L37" s="21"/>
      <c r="M37" s="21">
        <f>SUM(L32:L37)</f>
        <v>0</v>
      </c>
      <c r="N37" s="36" t="s">
        <v>43</v>
      </c>
      <c r="O37" s="24"/>
      <c r="Q37" s="10"/>
    </row>
    <row r="38" spans="1:17" s="7" customFormat="1" ht="15" hidden="1" customHeight="1" x14ac:dyDescent="0.25">
      <c r="A38" s="19"/>
      <c r="B38" s="30"/>
      <c r="C38" s="30"/>
      <c r="D38" s="38"/>
      <c r="E38" s="22"/>
      <c r="F38" s="22"/>
      <c r="G38" s="22"/>
      <c r="H38" s="34"/>
      <c r="I38" s="22"/>
      <c r="J38" s="21"/>
      <c r="K38" s="21"/>
      <c r="L38" s="21"/>
      <c r="M38" s="21"/>
      <c r="N38" s="21"/>
      <c r="O38" s="24"/>
      <c r="Q38" s="10"/>
    </row>
    <row r="39" spans="1:17" s="7" customFormat="1" ht="15" hidden="1" customHeight="1" x14ac:dyDescent="0.25">
      <c r="A39" s="19"/>
      <c r="B39" s="30">
        <v>38933</v>
      </c>
      <c r="C39" s="30">
        <v>39297</v>
      </c>
      <c r="D39" s="52"/>
      <c r="E39" s="53" t="s">
        <v>40</v>
      </c>
      <c r="F39" s="54">
        <f>DAYS360(B39,C39)</f>
        <v>359</v>
      </c>
      <c r="G39" s="53"/>
      <c r="H39" s="55">
        <v>4.3749999999999997E-2</v>
      </c>
      <c r="I39" s="53"/>
      <c r="J39" s="20">
        <f>D39*H39*F39/360</f>
        <v>0</v>
      </c>
      <c r="K39" s="20">
        <f>30500*(D39/5000000)</f>
        <v>0</v>
      </c>
      <c r="L39" s="20">
        <f>J39-K39</f>
        <v>0</v>
      </c>
      <c r="M39" s="22"/>
      <c r="N39" s="22"/>
      <c r="O39" s="24"/>
      <c r="Q39" s="10"/>
    </row>
    <row r="40" spans="1:17" s="7" customFormat="1" ht="15" hidden="1" customHeight="1" x14ac:dyDescent="0.25">
      <c r="A40" s="19"/>
      <c r="B40" s="30">
        <f>C33</f>
        <v>38933</v>
      </c>
      <c r="C40" s="30">
        <v>39297</v>
      </c>
      <c r="D40" s="52"/>
      <c r="E40" s="53" t="s">
        <v>40</v>
      </c>
      <c r="F40" s="54">
        <f>DAYS360(B40,C40)</f>
        <v>359</v>
      </c>
      <c r="G40" s="53"/>
      <c r="H40" s="56">
        <v>4.4999999999999998E-2</v>
      </c>
      <c r="I40" s="53"/>
      <c r="J40" s="20">
        <f>D40*H40*F40/360</f>
        <v>0</v>
      </c>
      <c r="K40" s="20">
        <f>83448.42*(D40/11652666)</f>
        <v>0</v>
      </c>
      <c r="L40" s="20">
        <f>J40-K40</f>
        <v>0</v>
      </c>
      <c r="M40" s="22"/>
      <c r="N40" s="22"/>
      <c r="O40" s="24"/>
      <c r="Q40" s="10"/>
    </row>
    <row r="41" spans="1:17" s="7" customFormat="1" ht="15" hidden="1" customHeight="1" x14ac:dyDescent="0.25">
      <c r="A41" s="19"/>
      <c r="B41" s="30"/>
      <c r="C41" s="30"/>
      <c r="D41" s="52"/>
      <c r="E41" s="57"/>
      <c r="F41" s="54"/>
      <c r="G41" s="53"/>
      <c r="H41" s="55"/>
      <c r="I41" s="53"/>
      <c r="J41" s="20"/>
      <c r="K41" s="20"/>
      <c r="L41" s="20"/>
      <c r="M41" s="22"/>
      <c r="N41" s="22"/>
      <c r="O41" s="24"/>
      <c r="Q41" s="10"/>
    </row>
    <row r="42" spans="1:17" s="7" customFormat="1" ht="15" hidden="1" customHeight="1" x14ac:dyDescent="0.25">
      <c r="A42" s="19"/>
      <c r="B42" s="30"/>
      <c r="C42" s="30"/>
      <c r="D42" s="52"/>
      <c r="E42" s="57"/>
      <c r="F42" s="54"/>
      <c r="G42" s="53"/>
      <c r="H42" s="56"/>
      <c r="I42" s="53"/>
      <c r="J42" s="20"/>
      <c r="K42" s="20"/>
      <c r="L42" s="20"/>
      <c r="M42" s="22"/>
      <c r="N42" s="22"/>
      <c r="O42" s="24"/>
      <c r="Q42" s="10"/>
    </row>
    <row r="43" spans="1:17" s="7" customFormat="1" ht="15" hidden="1" customHeight="1" x14ac:dyDescent="0.25">
      <c r="A43" s="19"/>
      <c r="B43" s="30"/>
      <c r="C43" s="30"/>
      <c r="D43" s="52"/>
      <c r="E43" s="53"/>
      <c r="F43" s="54"/>
      <c r="G43" s="53"/>
      <c r="H43" s="56"/>
      <c r="I43" s="53"/>
      <c r="J43" s="20"/>
      <c r="K43" s="20"/>
      <c r="L43" s="20"/>
      <c r="M43" s="22"/>
      <c r="N43" s="22"/>
      <c r="O43" s="24"/>
      <c r="Q43" s="10"/>
    </row>
    <row r="44" spans="1:17" s="35" customFormat="1" ht="12.75" hidden="1" customHeight="1" x14ac:dyDescent="0.25">
      <c r="A44" s="29"/>
      <c r="B44" s="41"/>
      <c r="C44" s="41"/>
      <c r="D44" s="58"/>
      <c r="E44" s="59"/>
      <c r="F44" s="60"/>
      <c r="G44" s="61"/>
      <c r="H44" s="62"/>
      <c r="I44" s="61"/>
      <c r="J44" s="63"/>
      <c r="K44" s="20"/>
      <c r="L44" s="63"/>
      <c r="M44" s="51"/>
      <c r="N44" s="51"/>
      <c r="O44" s="47"/>
      <c r="Q44" s="48"/>
    </row>
    <row r="45" spans="1:17" s="35" customFormat="1" ht="12.75" hidden="1" customHeight="1" x14ac:dyDescent="0.25">
      <c r="A45" s="29"/>
      <c r="B45" s="41"/>
      <c r="C45" s="41"/>
      <c r="D45" s="58"/>
      <c r="E45" s="59"/>
      <c r="F45" s="60"/>
      <c r="G45" s="61"/>
      <c r="H45" s="64"/>
      <c r="I45" s="61"/>
      <c r="J45" s="63"/>
      <c r="K45" s="20"/>
      <c r="L45" s="63"/>
      <c r="M45" s="51"/>
      <c r="N45" s="51"/>
      <c r="O45" s="47"/>
      <c r="Q45" s="48"/>
    </row>
    <row r="46" spans="1:17" s="7" customFormat="1" ht="15" hidden="1" customHeight="1" x14ac:dyDescent="0.25">
      <c r="A46" s="19"/>
      <c r="B46" s="65">
        <v>39173</v>
      </c>
      <c r="C46" s="65">
        <v>39326</v>
      </c>
      <c r="D46" s="66"/>
      <c r="E46" s="67" t="s">
        <v>44</v>
      </c>
      <c r="F46" s="68">
        <f>DAYS360(B46,C46)</f>
        <v>150</v>
      </c>
      <c r="G46" s="67"/>
      <c r="H46" s="69">
        <v>4.2500000000000003E-2</v>
      </c>
      <c r="I46" s="67"/>
      <c r="J46" s="70">
        <f>D46*H46*F46/360</f>
        <v>0</v>
      </c>
      <c r="K46" s="70">
        <v>0</v>
      </c>
      <c r="L46" s="70">
        <f>J46-K46</f>
        <v>0</v>
      </c>
      <c r="M46" s="67"/>
      <c r="N46" s="67"/>
      <c r="O46" s="24"/>
      <c r="Q46" s="10"/>
    </row>
    <row r="47" spans="1:17" s="79" customFormat="1" ht="12.75" hidden="1" customHeight="1" x14ac:dyDescent="0.25">
      <c r="A47" s="71"/>
      <c r="B47" s="72">
        <v>39262</v>
      </c>
      <c r="C47" s="72">
        <v>39479</v>
      </c>
      <c r="D47" s="73"/>
      <c r="E47" s="74" t="s">
        <v>38</v>
      </c>
      <c r="F47" s="75">
        <f>DAYS360(B47,C47)</f>
        <v>212</v>
      </c>
      <c r="G47" s="74"/>
      <c r="H47" s="76">
        <v>4.1500000000000002E-2</v>
      </c>
      <c r="I47" s="74"/>
      <c r="J47" s="77">
        <f>D47*H47*F47/360</f>
        <v>0</v>
      </c>
      <c r="K47" s="77">
        <v>0</v>
      </c>
      <c r="L47" s="77">
        <f>J47-K47</f>
        <v>0</v>
      </c>
      <c r="M47" s="77"/>
      <c r="N47" s="77"/>
      <c r="O47" s="78"/>
      <c r="Q47" s="80"/>
    </row>
    <row r="48" spans="1:17" s="79" customFormat="1" ht="12.75" hidden="1" customHeight="1" x14ac:dyDescent="0.25">
      <c r="A48" s="71"/>
      <c r="B48" s="72">
        <v>39297</v>
      </c>
      <c r="C48" s="72">
        <v>39479</v>
      </c>
      <c r="D48" s="73"/>
      <c r="E48" s="74" t="s">
        <v>45</v>
      </c>
      <c r="F48" s="75">
        <f>DAYS360(B48,C48)</f>
        <v>178</v>
      </c>
      <c r="G48" s="74"/>
      <c r="H48" s="76">
        <v>4.1000000000000002E-2</v>
      </c>
      <c r="I48" s="74"/>
      <c r="J48" s="77">
        <f>D48*H48*F48/360</f>
        <v>0</v>
      </c>
      <c r="K48" s="77">
        <v>0</v>
      </c>
      <c r="L48" s="77">
        <f>J48-K48</f>
        <v>0</v>
      </c>
      <c r="M48" s="77"/>
      <c r="N48" s="77"/>
      <c r="O48" s="78"/>
      <c r="Q48" s="80"/>
    </row>
    <row r="49" spans="1:17" s="7" customFormat="1" ht="15" hidden="1" customHeight="1" x14ac:dyDescent="0.25">
      <c r="A49" s="19"/>
      <c r="B49" s="81"/>
      <c r="C49" s="81">
        <v>39479</v>
      </c>
      <c r="D49" s="82"/>
      <c r="E49" s="82" t="s">
        <v>46</v>
      </c>
      <c r="F49" s="83"/>
      <c r="G49" s="84"/>
      <c r="H49" s="85"/>
      <c r="I49" s="86"/>
      <c r="J49" s="87"/>
      <c r="K49" s="73"/>
      <c r="L49" s="83"/>
      <c r="M49" s="53"/>
      <c r="N49" s="53"/>
      <c r="O49" s="88"/>
    </row>
    <row r="50" spans="1:17" s="79" customFormat="1" ht="12.75" hidden="1" customHeight="1" x14ac:dyDescent="0.25">
      <c r="A50" s="71"/>
      <c r="B50" s="81"/>
      <c r="C50" s="87"/>
      <c r="D50" s="74"/>
      <c r="E50" s="89"/>
      <c r="F50" s="75"/>
      <c r="G50" s="77"/>
      <c r="H50" s="76"/>
      <c r="I50" s="77"/>
      <c r="J50" s="77"/>
      <c r="K50" s="77"/>
      <c r="L50" s="77"/>
      <c r="M50" s="77">
        <f>SUM(L39:L49)</f>
        <v>0</v>
      </c>
      <c r="N50" s="90" t="s">
        <v>47</v>
      </c>
      <c r="O50" s="78"/>
      <c r="Q50" s="80"/>
    </row>
    <row r="51" spans="1:17" s="79" customFormat="1" ht="12.75" hidden="1" customHeight="1" x14ac:dyDescent="0.25">
      <c r="A51" s="71"/>
      <c r="B51" s="72"/>
      <c r="C51" s="72"/>
      <c r="D51" s="73"/>
      <c r="E51" s="74"/>
      <c r="F51" s="75"/>
      <c r="G51" s="77"/>
      <c r="H51" s="76"/>
      <c r="I51" s="77"/>
      <c r="J51" s="77"/>
      <c r="K51" s="77"/>
      <c r="L51" s="77"/>
      <c r="M51" s="77"/>
      <c r="N51" s="77"/>
      <c r="O51" s="78"/>
      <c r="Q51" s="80"/>
    </row>
    <row r="52" spans="1:17" s="79" customFormat="1" ht="12.75" hidden="1" customHeight="1" x14ac:dyDescent="0.25">
      <c r="A52" s="71"/>
      <c r="B52" s="72">
        <f>C40</f>
        <v>39297</v>
      </c>
      <c r="C52" s="91">
        <v>39663</v>
      </c>
      <c r="D52" s="73"/>
      <c r="E52" s="74" t="s">
        <v>48</v>
      </c>
      <c r="F52" s="75">
        <f>DAYS360(B52,C52)</f>
        <v>360</v>
      </c>
      <c r="G52" s="74"/>
      <c r="H52" s="76">
        <f>H40+0.0025</f>
        <v>4.7500000000000001E-2</v>
      </c>
      <c r="I52" s="74"/>
      <c r="J52" s="77">
        <f>D52*H52*F52/360</f>
        <v>0</v>
      </c>
      <c r="K52" s="77">
        <v>0</v>
      </c>
      <c r="L52" s="77">
        <f>J52-K52</f>
        <v>0</v>
      </c>
      <c r="M52" s="77"/>
      <c r="N52" s="92"/>
      <c r="O52" s="78"/>
      <c r="Q52" s="80"/>
    </row>
    <row r="53" spans="1:17" s="79" customFormat="1" ht="12.75" hidden="1" customHeight="1" x14ac:dyDescent="0.25">
      <c r="A53" s="71"/>
      <c r="B53" s="72">
        <f>C42</f>
        <v>0</v>
      </c>
      <c r="C53" s="91">
        <v>39663</v>
      </c>
      <c r="D53" s="73"/>
      <c r="E53" s="92" t="s">
        <v>48</v>
      </c>
      <c r="F53" s="75">
        <f>DAYS360(B53,C53)</f>
        <v>39093</v>
      </c>
      <c r="G53" s="74"/>
      <c r="H53" s="76">
        <f>H52</f>
        <v>4.7500000000000001E-2</v>
      </c>
      <c r="I53" s="74"/>
      <c r="J53" s="77">
        <f>D53*H53*F53/360</f>
        <v>0</v>
      </c>
      <c r="K53" s="77">
        <v>0</v>
      </c>
      <c r="L53" s="77">
        <f>J53-K53</f>
        <v>0</v>
      </c>
      <c r="M53" s="77"/>
      <c r="N53" s="92"/>
      <c r="O53" s="78"/>
      <c r="Q53" s="80"/>
    </row>
    <row r="54" spans="1:17" s="79" customFormat="1" ht="12.75" hidden="1" customHeight="1" x14ac:dyDescent="0.25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Q54" s="80"/>
    </row>
    <row r="55" spans="1:17" s="103" customFormat="1" ht="12.75" hidden="1" customHeight="1" x14ac:dyDescent="0.25">
      <c r="A55" s="93"/>
      <c r="B55" s="94">
        <v>39326</v>
      </c>
      <c r="C55" s="95">
        <v>39692</v>
      </c>
      <c r="D55" s="96"/>
      <c r="E55" s="97" t="s">
        <v>42</v>
      </c>
      <c r="F55" s="98">
        <f>DAYS360(B55,C55)</f>
        <v>360</v>
      </c>
      <c r="G55" s="99"/>
      <c r="H55" s="100">
        <f>H52</f>
        <v>4.7500000000000001E-2</v>
      </c>
      <c r="I55" s="99"/>
      <c r="J55" s="101">
        <f>D55*H55*F55/360</f>
        <v>0</v>
      </c>
      <c r="K55" s="101">
        <v>0</v>
      </c>
      <c r="L55" s="101">
        <f>J55-K55</f>
        <v>0</v>
      </c>
      <c r="M55" s="101"/>
      <c r="N55" s="97"/>
      <c r="O55" s="102"/>
      <c r="Q55" s="104"/>
    </row>
    <row r="56" spans="1:17" s="103" customFormat="1" ht="12.75" hidden="1" customHeight="1" x14ac:dyDescent="0.25">
      <c r="A56" s="93"/>
      <c r="B56" s="72">
        <v>39479</v>
      </c>
      <c r="C56" s="91">
        <v>39843</v>
      </c>
      <c r="D56" s="73"/>
      <c r="E56" s="74" t="s">
        <v>49</v>
      </c>
      <c r="F56" s="75">
        <f>DAYS360(B56,C56)</f>
        <v>359</v>
      </c>
      <c r="G56" s="74"/>
      <c r="H56" s="76">
        <v>2.75E-2</v>
      </c>
      <c r="I56" s="74"/>
      <c r="J56" s="77">
        <f>D56*H56*F56/360</f>
        <v>0</v>
      </c>
      <c r="K56" s="77">
        <v>0</v>
      </c>
      <c r="L56" s="77">
        <f>J56-K56</f>
        <v>0</v>
      </c>
      <c r="M56" s="101"/>
      <c r="N56" s="97"/>
      <c r="O56" s="102"/>
      <c r="Q56" s="104"/>
    </row>
    <row r="57" spans="1:17" s="7" customFormat="1" ht="15" hidden="1" customHeight="1" x14ac:dyDescent="0.25">
      <c r="A57" s="19"/>
      <c r="B57" s="81"/>
      <c r="C57" s="81">
        <v>39843</v>
      </c>
      <c r="D57" s="82"/>
      <c r="E57" s="82" t="s">
        <v>50</v>
      </c>
      <c r="F57" s="83"/>
      <c r="G57" s="84"/>
      <c r="H57" s="85"/>
      <c r="I57" s="74"/>
      <c r="J57" s="87"/>
      <c r="K57" s="73"/>
      <c r="L57" s="83"/>
      <c r="M57" s="53"/>
      <c r="N57" s="53"/>
      <c r="O57" s="88"/>
    </row>
    <row r="58" spans="1:17" s="79" customFormat="1" ht="12.75" hidden="1" customHeight="1" x14ac:dyDescent="0.25">
      <c r="A58" s="71"/>
      <c r="B58" s="72"/>
      <c r="C58" s="91"/>
      <c r="D58" s="73"/>
      <c r="E58" s="92"/>
      <c r="F58" s="75"/>
      <c r="G58" s="74"/>
      <c r="H58" s="76"/>
      <c r="I58" s="74"/>
      <c r="J58" s="77"/>
      <c r="K58" s="77"/>
      <c r="L58" s="77"/>
      <c r="M58" s="77">
        <f>SUM(L51:L58)</f>
        <v>0</v>
      </c>
      <c r="N58" s="77" t="s">
        <v>51</v>
      </c>
      <c r="O58" s="78"/>
      <c r="Q58" s="80"/>
    </row>
    <row r="59" spans="1:17" s="79" customFormat="1" ht="12.75" hidden="1" customHeight="1" x14ac:dyDescent="0.25">
      <c r="A59" s="71"/>
      <c r="B59" s="72"/>
      <c r="C59" s="91"/>
      <c r="D59" s="73"/>
      <c r="E59" s="92"/>
      <c r="F59" s="75"/>
      <c r="G59" s="74"/>
      <c r="H59" s="76"/>
      <c r="I59" s="74"/>
      <c r="J59" s="77"/>
      <c r="K59" s="77"/>
      <c r="L59" s="77"/>
      <c r="M59" s="77"/>
      <c r="N59" s="92"/>
      <c r="O59" s="78"/>
      <c r="Q59" s="80"/>
    </row>
    <row r="60" spans="1:17" s="79" customFormat="1" ht="12.75" hidden="1" customHeight="1" x14ac:dyDescent="0.25">
      <c r="A60" s="71"/>
      <c r="B60" s="65">
        <v>40132</v>
      </c>
      <c r="C60" s="105">
        <v>40207</v>
      </c>
      <c r="D60" s="66">
        <v>0</v>
      </c>
      <c r="E60" s="67" t="s">
        <v>52</v>
      </c>
      <c r="F60" s="75">
        <f>DAYS360(B60,C60)</f>
        <v>74</v>
      </c>
      <c r="G60" s="74"/>
      <c r="H60" s="76">
        <f>'[2]Summary part 1'!$O$23</f>
        <v>0.02</v>
      </c>
      <c r="I60" s="74"/>
      <c r="J60" s="77">
        <f>D60*H60*F60/360</f>
        <v>0</v>
      </c>
      <c r="K60" s="77">
        <v>0</v>
      </c>
      <c r="L60" s="77">
        <f>J60-K60</f>
        <v>0</v>
      </c>
      <c r="M60" s="77"/>
      <c r="N60" s="92"/>
      <c r="O60" s="78"/>
      <c r="Q60" s="80"/>
    </row>
    <row r="61" spans="1:17" s="79" customFormat="1" ht="12.75" hidden="1" customHeight="1" x14ac:dyDescent="0.25">
      <c r="A61" s="71"/>
      <c r="B61" s="72">
        <v>39843</v>
      </c>
      <c r="C61" s="91">
        <v>40207</v>
      </c>
      <c r="D61" s="73">
        <v>0</v>
      </c>
      <c r="E61" s="74" t="s">
        <v>53</v>
      </c>
      <c r="F61" s="75">
        <f>DAYS360(B61,C61)</f>
        <v>359</v>
      </c>
      <c r="G61" s="74"/>
      <c r="H61" s="76">
        <f>'[2]Summary part 1'!$O$23</f>
        <v>0.02</v>
      </c>
      <c r="I61" s="74"/>
      <c r="J61" s="77">
        <f>D61*H61*F61/360</f>
        <v>0</v>
      </c>
      <c r="K61" s="77">
        <v>0</v>
      </c>
      <c r="L61" s="77">
        <f>J61-K61</f>
        <v>0</v>
      </c>
      <c r="M61" s="77"/>
      <c r="N61" s="92"/>
      <c r="O61" s="78"/>
      <c r="Q61" s="80"/>
    </row>
    <row r="62" spans="1:17" s="79" customFormat="1" ht="12.75" hidden="1" customHeight="1" x14ac:dyDescent="0.25">
      <c r="A62" s="71"/>
      <c r="B62" s="72"/>
      <c r="C62" s="72"/>
      <c r="D62" s="73"/>
      <c r="E62" s="74"/>
      <c r="F62" s="75"/>
      <c r="G62" s="77"/>
      <c r="H62" s="76" t="s">
        <v>0</v>
      </c>
      <c r="I62" s="77"/>
      <c r="J62" s="77"/>
      <c r="K62" s="77"/>
      <c r="L62" s="77"/>
      <c r="M62" s="77">
        <f>SUM(L59:L62)</f>
        <v>0</v>
      </c>
      <c r="N62" s="77" t="s">
        <v>54</v>
      </c>
      <c r="O62" s="78"/>
      <c r="Q62" s="80"/>
    </row>
    <row r="63" spans="1:17" s="79" customFormat="1" ht="12.75" hidden="1" customHeight="1" x14ac:dyDescent="0.25">
      <c r="A63" s="71"/>
      <c r="B63" s="72"/>
      <c r="C63" s="72"/>
      <c r="D63" s="73"/>
      <c r="E63" s="74"/>
      <c r="F63" s="75"/>
      <c r="G63" s="77"/>
      <c r="H63" s="76"/>
      <c r="I63" s="77"/>
      <c r="J63" s="77"/>
      <c r="K63" s="77"/>
      <c r="L63" s="77"/>
      <c r="M63" s="77"/>
      <c r="N63" s="77"/>
      <c r="O63" s="78"/>
      <c r="Q63" s="80"/>
    </row>
    <row r="64" spans="1:17" s="79" customFormat="1" ht="13.2" x14ac:dyDescent="0.25">
      <c r="A64" s="106"/>
      <c r="B64" s="118">
        <f>IF(ISBLANK(J2),"",J2)</f>
        <v>41866</v>
      </c>
      <c r="C64" s="108">
        <f>IF(ISBLANK(J2),"",IF(MONTH(B64)&lt;=2,IF(OR(MOD(YEAR(B64),400)=0,AND(MOD(YEAR(B64),4)=0,MOD(YEAR(B64),100)&lt;&gt;0)),B64+366,B64+365),IF(OR(MOD(YEAR(B64)+1,400)=0,AND(MOD(YEAR(B64)+1,4)=0,MOD(YEAR(B64)+1,100)&lt;&gt;0)),B64+366,B64+365)))</f>
        <v>42231</v>
      </c>
      <c r="D64" s="109">
        <f>J4</f>
        <v>2500000</v>
      </c>
      <c r="E64" s="79" t="s">
        <v>55</v>
      </c>
      <c r="F64" s="110">
        <f>J3</f>
        <v>360</v>
      </c>
      <c r="H64" s="111">
        <f>J5</f>
        <v>0.02</v>
      </c>
      <c r="J64" s="112">
        <f>D64*H64*F64/360</f>
        <v>50000</v>
      </c>
      <c r="K64" s="112">
        <v>0</v>
      </c>
      <c r="L64" s="112">
        <f>J64-K64</f>
        <v>50000</v>
      </c>
      <c r="M64" s="112"/>
      <c r="N64" s="113"/>
      <c r="O64" s="114"/>
      <c r="Q64" s="80"/>
    </row>
    <row r="65" spans="1:17" s="79" customFormat="1" ht="12.75" hidden="1" customHeight="1" x14ac:dyDescent="0.25">
      <c r="A65" s="106"/>
      <c r="B65" s="107">
        <v>40617</v>
      </c>
      <c r="C65" s="108">
        <v>40801</v>
      </c>
      <c r="D65" s="109">
        <v>0</v>
      </c>
      <c r="E65" s="3" t="s">
        <v>56</v>
      </c>
      <c r="F65" s="110">
        <f>DAYS360(B65,C65)</f>
        <v>180</v>
      </c>
      <c r="H65" s="111">
        <v>0.01</v>
      </c>
      <c r="J65" s="112">
        <f>D65*H65*F65/360</f>
        <v>0</v>
      </c>
      <c r="K65" s="112">
        <v>0</v>
      </c>
      <c r="L65" s="112">
        <f>J65-K65</f>
        <v>0</v>
      </c>
      <c r="M65" s="112"/>
      <c r="N65" s="113"/>
      <c r="O65" s="114"/>
      <c r="Q65" s="80"/>
    </row>
    <row r="66" spans="1:17" s="79" customFormat="1" ht="12.75" hidden="1" customHeight="1" x14ac:dyDescent="0.25">
      <c r="A66" s="106"/>
      <c r="B66" s="107">
        <v>40753</v>
      </c>
      <c r="C66" s="107">
        <v>40801</v>
      </c>
      <c r="D66" s="109">
        <v>0</v>
      </c>
      <c r="E66" s="3" t="s">
        <v>57</v>
      </c>
      <c r="F66" s="110">
        <f>DAYS360(B66,C66)</f>
        <v>46</v>
      </c>
      <c r="H66" s="111">
        <v>1.7500000000000002E-2</v>
      </c>
      <c r="J66" s="112">
        <f>D66*H66*F66/360</f>
        <v>0</v>
      </c>
      <c r="K66" s="112"/>
      <c r="L66" s="112">
        <f>J66-K66</f>
        <v>0</v>
      </c>
      <c r="M66" s="112"/>
      <c r="N66" s="115"/>
      <c r="O66" s="114"/>
      <c r="Q66" s="80"/>
    </row>
    <row r="67" spans="1:17" s="79" customFormat="1" ht="13.2" x14ac:dyDescent="0.25">
      <c r="A67" s="106"/>
      <c r="B67" s="107"/>
      <c r="C67" s="107"/>
      <c r="D67" s="116"/>
      <c r="F67" s="110"/>
      <c r="H67" s="111"/>
      <c r="J67" s="112"/>
      <c r="K67" s="112"/>
      <c r="L67" s="112"/>
      <c r="M67" s="112">
        <f>SUM(L64:L66)</f>
        <v>50000</v>
      </c>
      <c r="N67" s="117">
        <f>IF(ISBLANK(J2),"",IF(MONTH(C64)&lt;7,YEAR(C64),YEAR(C64)+1))</f>
        <v>2016</v>
      </c>
      <c r="O67" s="114"/>
      <c r="Q67" s="80"/>
    </row>
    <row r="68" spans="1:17" s="7" customFormat="1" ht="6" hidden="1" customHeight="1" x14ac:dyDescent="0.25">
      <c r="A68" s="2"/>
      <c r="B68" s="118"/>
      <c r="C68" s="118"/>
      <c r="D68" s="112"/>
      <c r="G68" s="14"/>
      <c r="H68" s="111"/>
      <c r="I68" s="14"/>
      <c r="J68" s="112"/>
      <c r="K68" s="112"/>
      <c r="L68" s="112"/>
      <c r="M68" s="112"/>
      <c r="N68" s="119"/>
      <c r="O68" s="9"/>
      <c r="Q68" s="10"/>
    </row>
    <row r="69" spans="1:17" s="7" customFormat="1" ht="15" hidden="1" customHeight="1" x14ac:dyDescent="0.25">
      <c r="A69" s="2"/>
      <c r="B69" s="118">
        <v>40603</v>
      </c>
      <c r="C69" s="120">
        <v>40969</v>
      </c>
      <c r="D69" s="112">
        <v>0</v>
      </c>
      <c r="E69" s="3" t="s">
        <v>58</v>
      </c>
      <c r="F69" s="121">
        <f>DAYS360(B69,C69)</f>
        <v>360</v>
      </c>
      <c r="H69" s="111">
        <f>'[3]Summary part 1'!$O$23</f>
        <v>0.02</v>
      </c>
      <c r="J69" s="112">
        <f>D69*H69*F69/360</f>
        <v>0</v>
      </c>
      <c r="K69" s="112">
        <v>0</v>
      </c>
      <c r="L69" s="112">
        <f>J69-K69</f>
        <v>0</v>
      </c>
      <c r="M69" s="112"/>
      <c r="N69" s="119"/>
      <c r="O69" s="9"/>
      <c r="Q69" s="10"/>
    </row>
    <row r="70" spans="1:17" s="7" customFormat="1" ht="13.2" x14ac:dyDescent="0.25">
      <c r="A70" s="2"/>
      <c r="B70" s="118" t="str">
        <f>IF(ISBLANK(M2),"",M2)</f>
        <v/>
      </c>
      <c r="C70" s="108" t="str">
        <f>IF(ISBLANK(M2),"",IF(MONTH(B70)&lt;=2,IF(OR(MOD(YEAR(B70),400)=0,AND(MOD(YEAR(B70),4)=0,MOD(YEAR(B70),100)&lt;&gt;0)),B70+366,B70+365),IF(OR(MOD(YEAR(B70)+1,400)=0,AND(MOD(YEAR(B70)+1,4)=0,MOD(YEAR(B70)+1,100)&lt;&gt;0)),B70+366,B70+365)))</f>
        <v/>
      </c>
      <c r="D70" s="112">
        <f>M4</f>
        <v>0</v>
      </c>
      <c r="E70" s="79" t="s">
        <v>59</v>
      </c>
      <c r="F70" s="121">
        <f>M3</f>
        <v>0</v>
      </c>
      <c r="H70" s="111">
        <f>M5</f>
        <v>0</v>
      </c>
      <c r="J70" s="112">
        <f>D70*H70*F70/360</f>
        <v>0</v>
      </c>
      <c r="K70" s="112"/>
      <c r="L70" s="112">
        <f>J70-K70</f>
        <v>0</v>
      </c>
      <c r="M70" s="112"/>
      <c r="N70" s="119"/>
      <c r="O70" s="9"/>
      <c r="Q70" s="10"/>
    </row>
    <row r="71" spans="1:17" s="7" customFormat="1" ht="15" hidden="1" customHeight="1" x14ac:dyDescent="0.25">
      <c r="A71" s="2"/>
      <c r="B71" s="118">
        <v>42384</v>
      </c>
      <c r="C71" s="120">
        <v>42750</v>
      </c>
      <c r="D71" s="112">
        <v>0</v>
      </c>
      <c r="E71" s="3" t="s">
        <v>60</v>
      </c>
      <c r="F71" s="121">
        <f>DAYS360(B71,C71)</f>
        <v>360</v>
      </c>
      <c r="H71" s="111">
        <v>1.2500000000000001E-2</v>
      </c>
      <c r="J71" s="112">
        <f>D71*H71*F71/360</f>
        <v>0</v>
      </c>
      <c r="K71" s="112"/>
      <c r="L71" s="112">
        <f>J71-K71</f>
        <v>0</v>
      </c>
      <c r="M71" s="112"/>
      <c r="N71" s="119"/>
      <c r="O71" s="9"/>
      <c r="Q71" s="10"/>
    </row>
    <row r="72" spans="1:17" s="128" customFormat="1" ht="12.75" hidden="1" customHeight="1" x14ac:dyDescent="0.25">
      <c r="A72" s="122"/>
      <c r="B72" s="123"/>
      <c r="C72" s="124">
        <v>41167</v>
      </c>
      <c r="D72" s="125"/>
      <c r="E72" s="126" t="s">
        <v>61</v>
      </c>
      <c r="F72" s="127"/>
      <c r="H72" s="129"/>
      <c r="J72" s="125"/>
      <c r="K72" s="125"/>
      <c r="L72" s="125">
        <v>0</v>
      </c>
      <c r="M72" s="125"/>
      <c r="N72" s="130"/>
      <c r="O72" s="131"/>
      <c r="Q72" s="132"/>
    </row>
    <row r="73" spans="1:17" s="7" customFormat="1" ht="15" hidden="1" customHeight="1" x14ac:dyDescent="0.25">
      <c r="A73" s="2"/>
      <c r="B73" s="118">
        <v>40801</v>
      </c>
      <c r="C73" s="120">
        <v>41166</v>
      </c>
      <c r="D73" s="112">
        <v>0</v>
      </c>
      <c r="E73" s="3" t="s">
        <v>62</v>
      </c>
      <c r="F73" s="121">
        <f>DAYS360(B73,C73)</f>
        <v>359</v>
      </c>
      <c r="H73" s="111">
        <v>1.2500000000000001E-2</v>
      </c>
      <c r="J73" s="112">
        <f>D73*H73*F73/360</f>
        <v>0</v>
      </c>
      <c r="K73" s="112">
        <v>0</v>
      </c>
      <c r="L73" s="112">
        <f>J73-K73</f>
        <v>0</v>
      </c>
      <c r="M73" s="112"/>
      <c r="N73" s="119"/>
      <c r="O73" s="9"/>
      <c r="Q73" s="10"/>
    </row>
    <row r="74" spans="1:17" s="7" customFormat="1" ht="13.2" x14ac:dyDescent="0.25">
      <c r="A74" s="2"/>
      <c r="B74" s="118"/>
      <c r="C74" s="118"/>
      <c r="D74" s="112"/>
      <c r="F74" s="121"/>
      <c r="G74" s="14"/>
      <c r="H74" s="111"/>
      <c r="I74" s="14"/>
      <c r="J74" s="112"/>
      <c r="K74" s="112"/>
      <c r="L74" s="112"/>
      <c r="M74" s="112">
        <f>SUM(L69:L74)</f>
        <v>0</v>
      </c>
      <c r="N74" s="117" t="str">
        <f>IF(ISBLANK(M2),"",IF(MONTH(C70)&lt;7,YEAR(C70),YEAR(C70)+1))</f>
        <v/>
      </c>
      <c r="O74" s="9"/>
      <c r="Q74" s="10"/>
    </row>
    <row r="75" spans="1:17" s="7" customFormat="1" ht="15" hidden="1" customHeight="1" x14ac:dyDescent="0.25">
      <c r="A75" s="2"/>
      <c r="B75" s="118"/>
      <c r="C75" s="118"/>
      <c r="D75" s="112"/>
      <c r="G75" s="14"/>
      <c r="H75" s="111"/>
      <c r="I75" s="14"/>
      <c r="J75" s="112"/>
      <c r="K75" s="112"/>
      <c r="L75" s="112"/>
      <c r="M75" s="112"/>
      <c r="N75" s="119"/>
      <c r="O75" s="9"/>
      <c r="Q75" s="10"/>
    </row>
    <row r="76" spans="1:17" s="7" customFormat="1" ht="13.2" x14ac:dyDescent="0.25">
      <c r="A76" s="2"/>
      <c r="B76" s="118" t="str">
        <f>C70</f>
        <v/>
      </c>
      <c r="C76" s="108" t="str">
        <f>IF(ISBLANK(M2),"",IF(MONTH(B76)&lt;=2,IF(OR(MOD(YEAR(B76),400)=0,AND(MOD(YEAR(B76),4)=0,MOD(YEAR(B76),100)&lt;&gt;0)),B76+366,B76+365),IF(OR(MOD(YEAR(B76)+1,400)=0,AND(MOD(YEAR(B76)+1,4)=0,MOD(YEAR(B76)+1,100)&lt;&gt;0)),B76+366,B76+365)))</f>
        <v/>
      </c>
      <c r="D76" s="112">
        <f>M4</f>
        <v>0</v>
      </c>
      <c r="E76" s="79" t="s">
        <v>63</v>
      </c>
      <c r="F76" s="121">
        <f>M3</f>
        <v>0</v>
      </c>
      <c r="H76" s="111">
        <f>M5</f>
        <v>0</v>
      </c>
      <c r="J76" s="112">
        <f>D76*H76*F76/360</f>
        <v>0</v>
      </c>
      <c r="K76" s="112">
        <v>0</v>
      </c>
      <c r="L76" s="112">
        <f>J76-K76</f>
        <v>0</v>
      </c>
      <c r="M76" s="112"/>
      <c r="N76" s="119"/>
      <c r="O76" s="9"/>
      <c r="Q76" s="10"/>
    </row>
    <row r="77" spans="1:17" s="128" customFormat="1" ht="12.75" hidden="1" customHeight="1" x14ac:dyDescent="0.25">
      <c r="A77" s="122"/>
      <c r="B77" s="133"/>
      <c r="C77" s="133">
        <v>41103</v>
      </c>
      <c r="D77" s="125"/>
      <c r="E77" s="79" t="s">
        <v>64</v>
      </c>
      <c r="F77" s="121"/>
      <c r="H77" s="111"/>
      <c r="J77" s="112"/>
      <c r="K77" s="112"/>
      <c r="L77" s="112">
        <v>0</v>
      </c>
      <c r="M77" s="112"/>
      <c r="N77" s="134"/>
      <c r="O77" s="131"/>
      <c r="Q77" s="132"/>
    </row>
    <row r="78" spans="1:17" s="7" customFormat="1" ht="15" hidden="1" customHeight="1" x14ac:dyDescent="0.25">
      <c r="A78" s="2"/>
      <c r="B78" s="135">
        <v>41166</v>
      </c>
      <c r="C78" s="135">
        <v>41530</v>
      </c>
      <c r="D78" s="112">
        <v>0</v>
      </c>
      <c r="E78" s="79" t="s">
        <v>65</v>
      </c>
      <c r="F78" s="121">
        <f>DAYS360(B78,C78)</f>
        <v>359</v>
      </c>
      <c r="H78" s="111">
        <v>1.2500000000000001E-2</v>
      </c>
      <c r="J78" s="112">
        <f>D78*H78*F78/360</f>
        <v>0</v>
      </c>
      <c r="K78" s="112">
        <v>0</v>
      </c>
      <c r="L78" s="112">
        <f>J78-K78</f>
        <v>0</v>
      </c>
      <c r="M78" s="112"/>
      <c r="N78" s="119"/>
      <c r="O78" s="9"/>
      <c r="Q78" s="10"/>
    </row>
    <row r="79" spans="1:17" s="128" customFormat="1" ht="12.75" hidden="1" customHeight="1" x14ac:dyDescent="0.25">
      <c r="A79" s="122"/>
      <c r="B79" s="133"/>
      <c r="C79" s="133">
        <v>41532</v>
      </c>
      <c r="D79" s="125"/>
      <c r="E79" s="126" t="s">
        <v>61</v>
      </c>
      <c r="F79" s="127"/>
      <c r="H79" s="129"/>
      <c r="J79" s="125"/>
      <c r="K79" s="125"/>
      <c r="L79" s="136">
        <v>0</v>
      </c>
      <c r="M79" s="125"/>
      <c r="N79" s="130"/>
      <c r="O79" s="131"/>
      <c r="Q79" s="132"/>
    </row>
    <row r="80" spans="1:17" s="7" customFormat="1" ht="13.2" x14ac:dyDescent="0.25">
      <c r="A80" s="2"/>
      <c r="B80" s="135"/>
      <c r="C80" s="135"/>
      <c r="D80" s="112"/>
      <c r="E80" s="3"/>
      <c r="F80" s="121"/>
      <c r="H80" s="111"/>
      <c r="J80" s="112"/>
      <c r="K80" s="112"/>
      <c r="L80" s="112"/>
      <c r="M80" s="112">
        <f>SUM(L76:L80)</f>
        <v>0</v>
      </c>
      <c r="N80" s="117" t="str">
        <f>IF(ISBLANK(M2),"",IF(MONTH(C76)&lt;7,YEAR(C76),YEAR(C76)+1))</f>
        <v/>
      </c>
      <c r="O80" s="9"/>
      <c r="Q80" s="10"/>
    </row>
    <row r="81" spans="1:17" s="7" customFormat="1" ht="15" hidden="1" customHeight="1" x14ac:dyDescent="0.25">
      <c r="A81" s="2"/>
      <c r="B81" s="135"/>
      <c r="C81" s="135"/>
      <c r="D81" s="112"/>
      <c r="G81" s="14"/>
      <c r="H81" s="111"/>
      <c r="I81" s="14"/>
      <c r="J81" s="112"/>
      <c r="K81" s="112"/>
      <c r="L81" s="112"/>
      <c r="M81" s="112"/>
      <c r="N81" s="14"/>
      <c r="O81" s="9"/>
      <c r="Q81" s="10"/>
    </row>
    <row r="82" spans="1:17" s="7" customFormat="1" ht="15" hidden="1" customHeight="1" x14ac:dyDescent="0.25">
      <c r="A82" s="2"/>
      <c r="B82" s="135">
        <v>41334</v>
      </c>
      <c r="C82" s="135">
        <v>41699</v>
      </c>
      <c r="D82" s="112">
        <v>0</v>
      </c>
      <c r="E82" s="3" t="s">
        <v>66</v>
      </c>
      <c r="F82" s="121">
        <f>DAYS360(B82,C82)</f>
        <v>360</v>
      </c>
      <c r="G82" s="14"/>
      <c r="H82" s="111">
        <f>'[3]Summary part 1'!$O$23</f>
        <v>0.02</v>
      </c>
      <c r="I82" s="14"/>
      <c r="J82" s="112">
        <f>D82*H82*F82/360</f>
        <v>0</v>
      </c>
      <c r="K82" s="112">
        <v>0</v>
      </c>
      <c r="L82" s="112">
        <f>J82-K82</f>
        <v>0</v>
      </c>
      <c r="M82" s="112"/>
      <c r="N82" s="14"/>
      <c r="O82" s="9"/>
      <c r="Q82" s="10"/>
    </row>
    <row r="83" spans="1:17" s="7" customFormat="1" ht="15" hidden="1" customHeight="1" x14ac:dyDescent="0.25">
      <c r="A83" s="2"/>
      <c r="B83" s="135">
        <v>41334</v>
      </c>
      <c r="C83" s="135">
        <v>41699</v>
      </c>
      <c r="D83" s="112">
        <v>0</v>
      </c>
      <c r="E83" s="3" t="s">
        <v>66</v>
      </c>
      <c r="F83" s="121">
        <f>DAYS360(B83,C83)</f>
        <v>360</v>
      </c>
      <c r="G83" s="14"/>
      <c r="H83" s="111">
        <f>'[3]Summary part 1'!$O$23</f>
        <v>0.02</v>
      </c>
      <c r="I83" s="14"/>
      <c r="J83" s="112">
        <f>D83*H83*F83/360</f>
        <v>0</v>
      </c>
      <c r="K83" s="112">
        <v>1</v>
      </c>
      <c r="L83" s="112">
        <v>0</v>
      </c>
      <c r="M83" s="112"/>
      <c r="N83" s="14"/>
      <c r="O83" s="9"/>
      <c r="Q83" s="10"/>
    </row>
    <row r="84" spans="1:17" s="128" customFormat="1" ht="12.75" hidden="1" customHeight="1" x14ac:dyDescent="0.25">
      <c r="A84" s="122"/>
      <c r="B84" s="133"/>
      <c r="C84" s="133">
        <v>41699</v>
      </c>
      <c r="D84" s="125"/>
      <c r="E84" s="126" t="s">
        <v>61</v>
      </c>
      <c r="F84" s="127"/>
      <c r="G84" s="137"/>
      <c r="H84" s="129"/>
      <c r="I84" s="137"/>
      <c r="J84" s="125"/>
      <c r="K84" s="125"/>
      <c r="L84" s="125">
        <v>0</v>
      </c>
      <c r="M84" s="125"/>
      <c r="N84" s="137"/>
      <c r="O84" s="131"/>
      <c r="Q84" s="132"/>
    </row>
    <row r="85" spans="1:17" s="7" customFormat="1" ht="15" hidden="1" customHeight="1" x14ac:dyDescent="0.25">
      <c r="A85" s="2"/>
      <c r="B85" s="135"/>
      <c r="C85" s="135"/>
      <c r="D85" s="112"/>
      <c r="F85" s="121"/>
      <c r="H85" s="138"/>
      <c r="J85" s="112"/>
      <c r="K85" s="112"/>
      <c r="L85" s="112"/>
      <c r="M85" s="112">
        <f>SUM(L82:L85)</f>
        <v>0</v>
      </c>
      <c r="N85" s="14" t="s">
        <v>67</v>
      </c>
      <c r="O85" s="9"/>
      <c r="Q85" s="10"/>
    </row>
    <row r="86" spans="1:17" s="7" customFormat="1" ht="15" hidden="1" customHeight="1" x14ac:dyDescent="0.25">
      <c r="A86" s="2"/>
      <c r="B86" s="135"/>
      <c r="C86" s="135"/>
      <c r="D86" s="112"/>
      <c r="H86" s="138"/>
      <c r="J86" s="14"/>
      <c r="K86" s="14"/>
      <c r="L86" s="14"/>
      <c r="M86" s="14"/>
      <c r="N86" s="14"/>
      <c r="O86" s="9"/>
      <c r="Q86" s="10"/>
    </row>
    <row r="87" spans="1:17" s="7" customFormat="1" ht="15" hidden="1" customHeight="1" x14ac:dyDescent="0.25">
      <c r="A87" s="2"/>
      <c r="B87" s="135">
        <f>C82</f>
        <v>41699</v>
      </c>
      <c r="C87" s="139">
        <v>41883</v>
      </c>
      <c r="D87" s="112"/>
      <c r="E87" s="3" t="s">
        <v>68</v>
      </c>
      <c r="F87" s="121">
        <f>DAYS360(B87,C87)</f>
        <v>180</v>
      </c>
      <c r="G87" s="14"/>
      <c r="H87" s="138">
        <v>0.03</v>
      </c>
      <c r="I87" s="14"/>
      <c r="J87" s="14">
        <f>D87*H87*F87/360</f>
        <v>0</v>
      </c>
      <c r="K87" s="14"/>
      <c r="L87" s="14"/>
      <c r="M87" s="14"/>
      <c r="N87" s="14"/>
      <c r="O87" s="9"/>
      <c r="Q87" s="10"/>
    </row>
    <row r="88" spans="1:17" s="7" customFormat="1" ht="15" hidden="1" customHeight="1" x14ac:dyDescent="0.25">
      <c r="A88" s="2"/>
      <c r="B88" s="135"/>
      <c r="C88" s="135"/>
      <c r="D88" s="112"/>
      <c r="F88" s="121"/>
      <c r="G88" s="14"/>
      <c r="H88" s="138"/>
      <c r="I88" s="14"/>
      <c r="J88" s="14"/>
      <c r="K88" s="14"/>
      <c r="L88" s="14"/>
      <c r="M88" s="14">
        <f>SUM(J87:J88)</f>
        <v>0</v>
      </c>
      <c r="N88" s="14" t="s">
        <v>67</v>
      </c>
      <c r="O88" s="9"/>
      <c r="Q88" s="10"/>
    </row>
    <row r="89" spans="1:17" s="7" customFormat="1" ht="15" hidden="1" customHeight="1" x14ac:dyDescent="0.25">
      <c r="A89" s="2"/>
      <c r="B89" s="135"/>
      <c r="C89" s="135"/>
      <c r="D89" s="112"/>
      <c r="H89" s="138"/>
      <c r="J89" s="14"/>
      <c r="K89" s="14"/>
      <c r="L89" s="14"/>
      <c r="M89" s="14"/>
      <c r="N89" s="14"/>
      <c r="O89" s="9"/>
      <c r="Q89" s="10"/>
    </row>
    <row r="90" spans="1:17" s="7" customFormat="1" ht="15" hidden="1" customHeight="1" x14ac:dyDescent="0.25">
      <c r="A90" s="2"/>
      <c r="B90" s="135">
        <f>C87</f>
        <v>41883</v>
      </c>
      <c r="C90" s="135">
        <v>41897</v>
      </c>
      <c r="D90" s="112">
        <v>0</v>
      </c>
      <c r="E90" s="3" t="s">
        <v>34</v>
      </c>
      <c r="F90" s="121">
        <f>DAYS360(B90,C90)</f>
        <v>14</v>
      </c>
      <c r="H90" s="138">
        <v>2.5000000000000001E-3</v>
      </c>
      <c r="J90" s="14">
        <f>D90*H90*F90/360</f>
        <v>0</v>
      </c>
      <c r="K90" s="14"/>
      <c r="L90" s="14"/>
      <c r="M90" s="14"/>
      <c r="N90" s="14"/>
      <c r="O90" s="9"/>
      <c r="Q90" s="10"/>
    </row>
    <row r="91" spans="1:17" s="7" customFormat="1" ht="15" hidden="1" customHeight="1" x14ac:dyDescent="0.25">
      <c r="A91" s="2"/>
      <c r="B91" s="135"/>
      <c r="C91" s="135"/>
      <c r="D91" s="112"/>
      <c r="F91" s="121"/>
      <c r="G91" s="14"/>
      <c r="H91" s="138"/>
      <c r="I91" s="14"/>
      <c r="J91" s="14"/>
      <c r="K91" s="14"/>
      <c r="L91" s="14"/>
      <c r="M91" s="14">
        <f>SUM(J90:J91)</f>
        <v>0</v>
      </c>
      <c r="N91" s="14" t="s">
        <v>69</v>
      </c>
      <c r="O91" s="9"/>
      <c r="Q91" s="10"/>
    </row>
    <row r="92" spans="1:17" s="7" customFormat="1" ht="15" hidden="1" customHeight="1" x14ac:dyDescent="0.25">
      <c r="A92" s="2"/>
      <c r="B92" s="135"/>
      <c r="C92" s="135"/>
      <c r="D92" s="112"/>
      <c r="G92" s="14"/>
      <c r="H92" s="138"/>
      <c r="I92" s="14"/>
      <c r="J92" s="14"/>
      <c r="K92" s="14"/>
      <c r="L92" s="14"/>
      <c r="M92" s="14"/>
      <c r="N92" s="14"/>
      <c r="O92" s="9"/>
      <c r="Q92" s="10"/>
    </row>
    <row r="93" spans="1:17" s="7" customFormat="1" ht="15" hidden="1" customHeight="1" x14ac:dyDescent="0.25">
      <c r="A93" s="2"/>
      <c r="B93" s="135">
        <f>C90</f>
        <v>41897</v>
      </c>
      <c r="C93" s="135">
        <v>42262</v>
      </c>
      <c r="D93" s="112">
        <f>D90</f>
        <v>0</v>
      </c>
      <c r="E93" s="3" t="s">
        <v>34</v>
      </c>
      <c r="F93" s="121">
        <f>DAYS360(B93,C93)</f>
        <v>360</v>
      </c>
      <c r="H93" s="138">
        <v>2.5000000000000001E-3</v>
      </c>
      <c r="J93" s="14">
        <f>D93*H93*F93/360</f>
        <v>0</v>
      </c>
      <c r="K93" s="14"/>
      <c r="L93" s="14"/>
      <c r="M93" s="14"/>
      <c r="N93" s="14"/>
      <c r="O93" s="9"/>
      <c r="Q93" s="10"/>
    </row>
    <row r="94" spans="1:17" s="7" customFormat="1" ht="15" hidden="1" customHeight="1" x14ac:dyDescent="0.25">
      <c r="A94" s="2"/>
      <c r="B94" s="135"/>
      <c r="C94" s="135"/>
      <c r="D94" s="112"/>
      <c r="F94" s="121"/>
      <c r="H94" s="138"/>
      <c r="J94" s="14"/>
      <c r="K94" s="14"/>
      <c r="L94" s="14"/>
      <c r="M94" s="14">
        <f>SUM(J93:J94)</f>
        <v>0</v>
      </c>
      <c r="N94" s="14" t="s">
        <v>70</v>
      </c>
      <c r="O94" s="9"/>
      <c r="Q94" s="10"/>
    </row>
    <row r="95" spans="1:17" s="7" customFormat="1" ht="15" hidden="1" customHeight="1" x14ac:dyDescent="0.25">
      <c r="A95" s="2"/>
      <c r="B95" s="135"/>
      <c r="C95" s="135"/>
      <c r="D95" s="112"/>
      <c r="G95" s="14"/>
      <c r="H95" s="138"/>
      <c r="I95" s="14"/>
      <c r="J95" s="14"/>
      <c r="K95" s="14"/>
      <c r="L95" s="14"/>
      <c r="M95" s="14"/>
      <c r="N95" s="14"/>
      <c r="O95" s="9"/>
      <c r="Q95" s="10"/>
    </row>
    <row r="96" spans="1:17" s="7" customFormat="1" ht="15" hidden="1" customHeight="1" x14ac:dyDescent="0.25">
      <c r="A96" s="2"/>
      <c r="B96" s="135">
        <f>C93</f>
        <v>42262</v>
      </c>
      <c r="C96" s="139">
        <v>42628</v>
      </c>
      <c r="D96" s="112">
        <f>D93</f>
        <v>0</v>
      </c>
      <c r="E96" s="3" t="s">
        <v>34</v>
      </c>
      <c r="F96" s="121">
        <f>DAYS360(B96,C96)</f>
        <v>360</v>
      </c>
      <c r="G96" s="14"/>
      <c r="H96" s="138">
        <v>2.5000000000000001E-3</v>
      </c>
      <c r="I96" s="14"/>
      <c r="J96" s="14">
        <f>D96*H96*F96/360</f>
        <v>0</v>
      </c>
      <c r="K96" s="14"/>
      <c r="L96" s="14"/>
      <c r="M96" s="14"/>
      <c r="N96" s="14"/>
      <c r="O96" s="9"/>
      <c r="Q96" s="10"/>
    </row>
    <row r="97" spans="1:17" s="7" customFormat="1" ht="15" hidden="1" customHeight="1" x14ac:dyDescent="0.3">
      <c r="A97" s="2"/>
      <c r="B97" s="139"/>
      <c r="C97" s="139"/>
      <c r="D97" s="112"/>
      <c r="F97" s="121"/>
      <c r="H97" s="138"/>
      <c r="J97" s="14"/>
      <c r="K97" s="14"/>
      <c r="L97" s="14"/>
      <c r="M97" s="14">
        <f>SUM(J96:J97)</f>
        <v>0</v>
      </c>
      <c r="N97" s="14" t="s">
        <v>71</v>
      </c>
      <c r="O97" s="9"/>
      <c r="P97" s="8"/>
      <c r="Q97" s="8"/>
    </row>
    <row r="98" spans="1:17" s="7" customFormat="1" ht="15" hidden="1" customHeight="1" x14ac:dyDescent="0.3">
      <c r="A98" s="404" t="s">
        <v>72</v>
      </c>
      <c r="B98" s="405"/>
      <c r="C98" s="405"/>
      <c r="D98" s="405"/>
      <c r="E98" s="405"/>
      <c r="F98" s="405"/>
      <c r="G98" s="405"/>
      <c r="H98" s="405"/>
      <c r="I98" s="405"/>
      <c r="J98" s="405"/>
      <c r="K98" s="405"/>
      <c r="L98" s="405"/>
      <c r="M98" s="405"/>
      <c r="N98" s="405"/>
      <c r="O98" s="406"/>
      <c r="P98" s="8"/>
      <c r="Q98" s="8"/>
    </row>
    <row r="99" spans="1:17" s="7" customFormat="1" ht="15" hidden="1" customHeight="1" x14ac:dyDescent="0.3">
      <c r="A99" s="404"/>
      <c r="B99" s="405"/>
      <c r="C99" s="405"/>
      <c r="D99" s="405"/>
      <c r="E99" s="405"/>
      <c r="F99" s="405"/>
      <c r="G99" s="405"/>
      <c r="H99" s="405"/>
      <c r="I99" s="405"/>
      <c r="J99" s="405"/>
      <c r="K99" s="405"/>
      <c r="L99" s="405"/>
      <c r="M99" s="405"/>
      <c r="N99" s="405"/>
      <c r="O99" s="406"/>
      <c r="P99" s="8"/>
      <c r="Q99" s="8"/>
    </row>
    <row r="100" spans="1:17" s="7" customFormat="1" ht="15" hidden="1" customHeight="1" x14ac:dyDescent="0.3">
      <c r="A100" s="404"/>
      <c r="B100" s="405"/>
      <c r="C100" s="405"/>
      <c r="D100" s="405"/>
      <c r="E100" s="405"/>
      <c r="F100" s="405"/>
      <c r="G100" s="405"/>
      <c r="H100" s="405"/>
      <c r="I100" s="405"/>
      <c r="J100" s="405"/>
      <c r="K100" s="405"/>
      <c r="L100" s="405"/>
      <c r="M100" s="405"/>
      <c r="N100" s="405"/>
      <c r="O100" s="406"/>
      <c r="P100" s="8"/>
      <c r="Q100" s="8"/>
    </row>
    <row r="101" spans="1:17" s="7" customFormat="1" ht="15" hidden="1" customHeight="1" x14ac:dyDescent="0.3">
      <c r="A101" s="2"/>
      <c r="B101" s="139"/>
      <c r="C101" s="139"/>
      <c r="D101" s="112"/>
      <c r="F101" s="121"/>
      <c r="H101" s="138"/>
      <c r="J101" s="14"/>
      <c r="K101" s="14"/>
      <c r="L101" s="14"/>
      <c r="M101" s="14"/>
      <c r="N101" s="14"/>
      <c r="O101" s="9"/>
      <c r="P101" s="8"/>
      <c r="Q101" s="8"/>
    </row>
    <row r="102" spans="1:17" s="7" customFormat="1" x14ac:dyDescent="0.3">
      <c r="A102" s="140"/>
      <c r="B102" s="141"/>
      <c r="C102" s="141"/>
      <c r="D102" s="141"/>
      <c r="E102" s="141"/>
      <c r="F102" s="142"/>
      <c r="G102" s="143"/>
      <c r="H102" s="144"/>
      <c r="I102" s="143"/>
      <c r="J102" s="141"/>
      <c r="K102" s="141"/>
      <c r="L102" s="141"/>
      <c r="M102" s="141"/>
      <c r="N102" s="141"/>
      <c r="O102" s="145"/>
      <c r="P102" s="8"/>
      <c r="Q102" s="8"/>
    </row>
    <row r="103" spans="1:17" s="7" customFormat="1" ht="5.25" customHeight="1" x14ac:dyDescent="0.3">
      <c r="P103" s="8"/>
      <c r="Q103" s="8"/>
    </row>
    <row r="104" spans="1:17" s="7" customFormat="1" ht="6" customHeight="1" x14ac:dyDescent="0.3">
      <c r="P104" s="8"/>
      <c r="Q104" s="8"/>
    </row>
    <row r="105" spans="1:17" s="7" customFormat="1" hidden="1" x14ac:dyDescent="0.3">
      <c r="B105" s="407" t="s">
        <v>73</v>
      </c>
      <c r="C105" s="407"/>
      <c r="D105" s="407"/>
      <c r="E105" s="407"/>
      <c r="F105" s="79"/>
      <c r="G105" s="79"/>
      <c r="H105" s="407"/>
      <c r="I105" s="407"/>
      <c r="J105" s="407"/>
      <c r="K105" s="407"/>
      <c r="L105" s="407"/>
      <c r="M105" s="407"/>
      <c r="N105" s="407"/>
      <c r="P105" s="8"/>
      <c r="Q105" s="8"/>
    </row>
    <row r="106" spans="1:17" s="7" customFormat="1" ht="1.5" hidden="1" customHeight="1" x14ac:dyDescent="0.3">
      <c r="B106" s="79"/>
      <c r="C106" s="79"/>
      <c r="D106" s="79"/>
      <c r="E106" s="79"/>
      <c r="F106" s="79"/>
      <c r="G106" s="79"/>
      <c r="H106" s="146"/>
      <c r="I106" s="146"/>
      <c r="J106" s="146"/>
      <c r="K106" s="146"/>
      <c r="L106" s="146"/>
      <c r="M106" s="146"/>
      <c r="N106" s="146"/>
      <c r="P106" s="8"/>
      <c r="Q106" s="8"/>
    </row>
    <row r="107" spans="1:17" s="7" customFormat="1" hidden="1" x14ac:dyDescent="0.3">
      <c r="B107" s="147" t="s">
        <v>74</v>
      </c>
      <c r="C107" s="148"/>
      <c r="D107" s="148"/>
      <c r="E107" s="149">
        <f>'[3]High School Cashflow'!F195</f>
        <v>126759608</v>
      </c>
      <c r="F107" s="79"/>
      <c r="G107" s="79"/>
      <c r="H107" s="146"/>
      <c r="I107" s="146"/>
      <c r="J107" s="146"/>
      <c r="K107" s="146"/>
      <c r="L107" s="146"/>
      <c r="M107" s="146"/>
      <c r="N107" s="150"/>
      <c r="P107" s="8"/>
      <c r="Q107" s="8"/>
    </row>
    <row r="108" spans="1:17" s="7" customFormat="1" hidden="1" x14ac:dyDescent="0.3">
      <c r="B108" s="106" t="s">
        <v>75</v>
      </c>
      <c r="C108" s="146"/>
      <c r="D108" s="146"/>
      <c r="E108" s="151">
        <v>80228599</v>
      </c>
      <c r="F108" s="79"/>
      <c r="G108" s="79"/>
      <c r="H108" s="146"/>
      <c r="I108" s="146"/>
      <c r="J108" s="146"/>
      <c r="K108" s="146"/>
      <c r="L108" s="146"/>
      <c r="M108" s="146"/>
      <c r="N108" s="150"/>
      <c r="P108" s="8"/>
      <c r="Q108" s="8"/>
    </row>
    <row r="109" spans="1:17" s="7" customFormat="1" hidden="1" x14ac:dyDescent="0.3">
      <c r="B109" s="152" t="s">
        <v>76</v>
      </c>
      <c r="C109" s="153"/>
      <c r="D109" s="153"/>
      <c r="E109" s="154">
        <f>'[3]Summary part 1'!O25</f>
        <v>0.9</v>
      </c>
      <c r="F109" s="79"/>
      <c r="G109" s="79"/>
      <c r="H109" s="146"/>
      <c r="I109" s="146"/>
      <c r="J109" s="146"/>
      <c r="K109" s="146"/>
      <c r="L109" s="146"/>
      <c r="M109" s="146"/>
      <c r="N109" s="155"/>
      <c r="P109" s="8"/>
      <c r="Q109" s="8"/>
    </row>
    <row r="110" spans="1:17" s="7" customFormat="1" ht="6.75" hidden="1" customHeight="1" x14ac:dyDescent="0.3">
      <c r="B110" s="79"/>
      <c r="C110" s="79"/>
      <c r="D110" s="79"/>
      <c r="E110" s="156"/>
      <c r="F110" s="79"/>
      <c r="G110" s="79"/>
      <c r="H110" s="146"/>
      <c r="I110" s="146"/>
      <c r="J110" s="146"/>
      <c r="K110" s="146"/>
      <c r="L110" s="146"/>
      <c r="M110" s="146"/>
      <c r="N110" s="155"/>
      <c r="P110" s="8"/>
      <c r="Q110" s="8"/>
    </row>
    <row r="111" spans="1:17" s="7" customFormat="1" hidden="1" x14ac:dyDescent="0.3">
      <c r="B111" s="147" t="s">
        <v>77</v>
      </c>
      <c r="C111" s="148"/>
      <c r="D111" s="148"/>
      <c r="E111" s="149">
        <f>E108*E109</f>
        <v>72205739.100000009</v>
      </c>
      <c r="F111" s="79"/>
      <c r="G111" s="79"/>
      <c r="H111" s="146"/>
      <c r="I111" s="146"/>
      <c r="J111" s="146"/>
      <c r="K111" s="146"/>
      <c r="L111" s="146"/>
      <c r="M111" s="146"/>
      <c r="N111" s="150"/>
      <c r="P111" s="8"/>
      <c r="Q111" s="8"/>
    </row>
    <row r="112" spans="1:17" s="7" customFormat="1" hidden="1" x14ac:dyDescent="0.3">
      <c r="B112" s="152" t="s">
        <v>78</v>
      </c>
      <c r="C112" s="153"/>
      <c r="D112" s="153"/>
      <c r="E112" s="157">
        <f>E107-E111</f>
        <v>54553868.899999991</v>
      </c>
      <c r="F112" s="79"/>
      <c r="G112" s="79"/>
      <c r="H112" s="146"/>
      <c r="I112" s="146"/>
      <c r="J112" s="146"/>
      <c r="K112" s="146"/>
      <c r="L112" s="146"/>
      <c r="M112" s="146"/>
      <c r="N112" s="150"/>
      <c r="P112" s="8"/>
      <c r="Q112" s="8"/>
    </row>
    <row r="113" spans="1:17" s="7" customFormat="1" ht="6" hidden="1" customHeight="1" x14ac:dyDescent="0.3">
      <c r="A113" s="8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8"/>
      <c r="P113" s="8"/>
      <c r="Q113" s="8"/>
    </row>
    <row r="114" spans="1:17" s="7" customFormat="1" hidden="1" x14ac:dyDescent="0.3">
      <c r="A114" s="8"/>
      <c r="B114" s="147" t="s">
        <v>79</v>
      </c>
      <c r="C114" s="148"/>
      <c r="D114" s="148"/>
      <c r="E114" s="149">
        <f>E111*0.75</f>
        <v>54154304.325000003</v>
      </c>
      <c r="F114" s="79"/>
      <c r="G114" s="79"/>
      <c r="H114" s="147" t="s">
        <v>80</v>
      </c>
      <c r="I114" s="148"/>
      <c r="J114" s="148"/>
      <c r="K114" s="148"/>
      <c r="L114" s="148"/>
      <c r="M114" s="148"/>
      <c r="N114" s="149">
        <f>N111*0.75</f>
        <v>0</v>
      </c>
      <c r="O114" s="8"/>
      <c r="P114" s="8"/>
      <c r="Q114" s="8"/>
    </row>
    <row r="115" spans="1:17" s="7" customFormat="1" hidden="1" x14ac:dyDescent="0.3">
      <c r="A115" s="8"/>
      <c r="B115" s="106" t="s">
        <v>81</v>
      </c>
      <c r="C115" s="146"/>
      <c r="D115" s="146"/>
      <c r="E115" s="151"/>
      <c r="F115" s="79"/>
      <c r="G115" s="79"/>
      <c r="H115" s="106" t="s">
        <v>81</v>
      </c>
      <c r="I115" s="146"/>
      <c r="J115" s="146"/>
      <c r="K115" s="146"/>
      <c r="L115" s="146"/>
      <c r="M115" s="146"/>
      <c r="N115" s="151"/>
      <c r="O115" s="8"/>
      <c r="P115" s="8"/>
      <c r="Q115" s="8"/>
    </row>
    <row r="116" spans="1:17" s="7" customFormat="1" hidden="1" x14ac:dyDescent="0.3">
      <c r="A116" s="8"/>
      <c r="B116" s="106" t="s">
        <v>82</v>
      </c>
      <c r="C116" s="146"/>
      <c r="D116" s="146"/>
      <c r="E116" s="151" t="e">
        <f>(((SUM(L23,L27,L29,L33,L34,L40,L42,L52,L53,L60,#REF!)*($E$108/$E$107))*$E$109)*0.75)</f>
        <v>#REF!</v>
      </c>
      <c r="F116" s="79"/>
      <c r="G116" s="79"/>
      <c r="H116" s="106" t="s">
        <v>83</v>
      </c>
      <c r="I116" s="146"/>
      <c r="J116" s="146"/>
      <c r="K116" s="146"/>
      <c r="L116" s="146"/>
      <c r="M116" s="146"/>
      <c r="N116" s="151" t="e">
        <f>(((SUM(L24,L28,L30,L35,L36,L43,L44,#REF!,L55,#REF!,#REF!,#REF!,#REF!)*($N$108/$N$107))*$N$109)*0.75)</f>
        <v>#REF!</v>
      </c>
      <c r="O116" s="8"/>
      <c r="P116" s="8"/>
      <c r="Q116" s="8"/>
    </row>
    <row r="117" spans="1:17" s="7" customFormat="1" hidden="1" x14ac:dyDescent="0.3">
      <c r="A117" s="8"/>
      <c r="B117" s="152" t="s">
        <v>84</v>
      </c>
      <c r="C117" s="153"/>
      <c r="D117" s="153"/>
      <c r="E117" s="158"/>
      <c r="F117" s="79"/>
      <c r="G117" s="79"/>
      <c r="H117" s="152" t="s">
        <v>84</v>
      </c>
      <c r="I117" s="153"/>
      <c r="J117" s="153"/>
      <c r="K117" s="153"/>
      <c r="L117" s="153"/>
      <c r="M117" s="153"/>
      <c r="N117" s="158"/>
      <c r="O117" s="8"/>
      <c r="P117" s="8"/>
      <c r="Q117" s="8"/>
    </row>
    <row r="118" spans="1:17" s="7" customFormat="1" ht="5.25" hidden="1" customHeight="1" x14ac:dyDescent="0.3">
      <c r="A118" s="8"/>
      <c r="B118" s="79"/>
      <c r="C118" s="79"/>
      <c r="D118" s="79"/>
      <c r="E118" s="159"/>
      <c r="F118" s="79"/>
      <c r="G118" s="79"/>
      <c r="H118" s="79"/>
      <c r="I118" s="79"/>
      <c r="J118" s="79"/>
      <c r="K118" s="79"/>
      <c r="L118" s="79"/>
      <c r="M118" s="79"/>
      <c r="N118" s="79"/>
      <c r="O118" s="8"/>
      <c r="P118" s="8"/>
      <c r="Q118" s="8"/>
    </row>
    <row r="119" spans="1:17" s="7" customFormat="1" hidden="1" x14ac:dyDescent="0.3">
      <c r="A119" s="8"/>
      <c r="B119" s="147" t="s">
        <v>85</v>
      </c>
      <c r="C119" s="148"/>
      <c r="D119" s="148"/>
      <c r="E119" s="149">
        <f>E111-E114</f>
        <v>18051434.775000006</v>
      </c>
      <c r="F119" s="79"/>
      <c r="G119" s="79"/>
      <c r="H119" s="147" t="s">
        <v>86</v>
      </c>
      <c r="I119" s="148"/>
      <c r="J119" s="148"/>
      <c r="K119" s="148"/>
      <c r="L119" s="148"/>
      <c r="M119" s="148"/>
      <c r="N119" s="149">
        <f>N111-N114</f>
        <v>0</v>
      </c>
      <c r="O119" s="8"/>
      <c r="P119" s="8"/>
      <c r="Q119" s="8"/>
    </row>
    <row r="120" spans="1:17" s="7" customFormat="1" hidden="1" x14ac:dyDescent="0.3">
      <c r="A120" s="8"/>
      <c r="B120" s="106" t="s">
        <v>87</v>
      </c>
      <c r="C120" s="146"/>
      <c r="D120" s="146"/>
      <c r="E120" s="151"/>
      <c r="F120" s="79"/>
      <c r="G120" s="79"/>
      <c r="H120" s="106" t="s">
        <v>87</v>
      </c>
      <c r="I120" s="146"/>
      <c r="J120" s="146"/>
      <c r="K120" s="146"/>
      <c r="L120" s="146"/>
      <c r="M120" s="146"/>
      <c r="N120" s="151"/>
      <c r="O120" s="8"/>
      <c r="P120" s="8"/>
      <c r="Q120" s="8"/>
    </row>
    <row r="121" spans="1:17" s="7" customFormat="1" hidden="1" x14ac:dyDescent="0.3">
      <c r="A121" s="8"/>
      <c r="B121" s="106" t="s">
        <v>85</v>
      </c>
      <c r="C121" s="146"/>
      <c r="D121" s="146"/>
      <c r="E121" s="151" t="e">
        <f>(((SUM(L23,L27,L29,L33,L34,L40,L42,L52,L53,#REF!,#REF!,L60)*($E$108/$E$107))*$E$109)-E116)</f>
        <v>#REF!</v>
      </c>
      <c r="F121" s="79"/>
      <c r="G121" s="79"/>
      <c r="H121" s="106" t="s">
        <v>86</v>
      </c>
      <c r="I121" s="146"/>
      <c r="J121" s="146"/>
      <c r="K121" s="146"/>
      <c r="L121" s="146"/>
      <c r="M121" s="146"/>
      <c r="N121" s="151" t="e">
        <f>(((SUM(L24,L28,L30,L35,L36,L43,L44,#REF!,#REF!,#REF!,#REF!,L55,#REF!,#REF!)*($N$108/$N$107))*$N$109)-N116)</f>
        <v>#REF!</v>
      </c>
      <c r="O121" s="8"/>
      <c r="P121" s="8"/>
      <c r="Q121" s="8"/>
    </row>
    <row r="122" spans="1:17" s="7" customFormat="1" hidden="1" x14ac:dyDescent="0.3">
      <c r="A122" s="8"/>
      <c r="B122" s="152" t="s">
        <v>84</v>
      </c>
      <c r="C122" s="153"/>
      <c r="D122" s="153"/>
      <c r="E122" s="158"/>
      <c r="F122" s="79"/>
      <c r="G122" s="79"/>
      <c r="H122" s="152" t="s">
        <v>84</v>
      </c>
      <c r="I122" s="153"/>
      <c r="J122" s="153"/>
      <c r="K122" s="153"/>
      <c r="L122" s="153"/>
      <c r="M122" s="153"/>
      <c r="N122" s="158"/>
      <c r="O122" s="8"/>
      <c r="P122" s="8"/>
      <c r="Q122" s="8"/>
    </row>
    <row r="123" spans="1:17" s="7" customFormat="1" ht="6" hidden="1" customHeight="1" x14ac:dyDescent="0.3">
      <c r="A123" s="8"/>
      <c r="B123" s="146"/>
      <c r="C123" s="146"/>
      <c r="D123" s="146"/>
      <c r="E123" s="160"/>
      <c r="F123" s="79"/>
      <c r="G123" s="79"/>
      <c r="H123" s="146"/>
      <c r="I123" s="146"/>
      <c r="J123" s="146"/>
      <c r="K123" s="79"/>
      <c r="L123" s="79"/>
      <c r="M123" s="79"/>
      <c r="N123" s="160"/>
      <c r="O123" s="8"/>
      <c r="P123" s="8"/>
      <c r="Q123" s="8"/>
    </row>
    <row r="124" spans="1:17" s="7" customFormat="1" ht="6" hidden="1" customHeight="1" x14ac:dyDescent="0.3">
      <c r="A124" s="8"/>
      <c r="B124" s="146"/>
      <c r="C124" s="146"/>
      <c r="D124" s="146"/>
      <c r="E124" s="160"/>
      <c r="F124" s="79"/>
      <c r="G124" s="79"/>
      <c r="H124" s="146"/>
      <c r="I124" s="146"/>
      <c r="J124" s="146"/>
      <c r="K124" s="79"/>
      <c r="L124" s="79"/>
      <c r="M124" s="79"/>
      <c r="N124" s="160"/>
      <c r="O124" s="8"/>
      <c r="P124" s="8"/>
      <c r="Q124" s="8"/>
    </row>
    <row r="125" spans="1:17" s="7" customFormat="1" hidden="1" x14ac:dyDescent="0.3">
      <c r="A125" s="8"/>
      <c r="B125" s="147" t="s">
        <v>88</v>
      </c>
      <c r="C125" s="148"/>
      <c r="D125" s="148"/>
      <c r="E125" s="161" t="e">
        <f>#REF!-#REF!-E116-E121</f>
        <v>#REF!</v>
      </c>
      <c r="F125" s="79"/>
      <c r="G125" s="79"/>
      <c r="H125" s="147" t="s">
        <v>89</v>
      </c>
      <c r="I125" s="148"/>
      <c r="J125" s="148"/>
      <c r="K125" s="148"/>
      <c r="L125" s="148"/>
      <c r="M125" s="148"/>
      <c r="N125" s="161" t="e">
        <f>#REF!-#REF!-N116-N121</f>
        <v>#REF!</v>
      </c>
      <c r="O125" s="8"/>
      <c r="P125" s="8"/>
      <c r="Q125" s="8"/>
    </row>
    <row r="126" spans="1:17" s="7" customFormat="1" hidden="1" x14ac:dyDescent="0.3">
      <c r="A126" s="8"/>
      <c r="B126" s="106" t="s">
        <v>90</v>
      </c>
      <c r="C126" s="146"/>
      <c r="D126" s="162">
        <f>E126/E107</f>
        <v>0.43037265388198415</v>
      </c>
      <c r="E126" s="151">
        <f>E107-E111</f>
        <v>54553868.899999991</v>
      </c>
      <c r="F126" s="79"/>
      <c r="G126" s="79"/>
      <c r="H126" s="106" t="s">
        <v>90</v>
      </c>
      <c r="I126" s="146"/>
      <c r="J126" s="146"/>
      <c r="K126" s="79"/>
      <c r="L126" s="162" t="e">
        <f>N126/N107</f>
        <v>#DIV/0!</v>
      </c>
      <c r="M126" s="146"/>
      <c r="N126" s="151">
        <f>N107-N111</f>
        <v>0</v>
      </c>
      <c r="O126" s="8"/>
      <c r="P126" s="8"/>
      <c r="Q126" s="8"/>
    </row>
    <row r="127" spans="1:17" s="7" customFormat="1" hidden="1" x14ac:dyDescent="0.3">
      <c r="A127" s="8"/>
      <c r="B127" s="152" t="s">
        <v>91</v>
      </c>
      <c r="C127" s="153"/>
      <c r="D127" s="153"/>
      <c r="E127" s="157"/>
      <c r="F127" s="79"/>
      <c r="G127" s="79"/>
      <c r="H127" s="152" t="s">
        <v>91</v>
      </c>
      <c r="I127" s="153"/>
      <c r="J127" s="153"/>
      <c r="K127" s="153"/>
      <c r="L127" s="153"/>
      <c r="M127" s="153"/>
      <c r="N127" s="157"/>
      <c r="O127" s="8"/>
      <c r="P127" s="8"/>
      <c r="Q127" s="8"/>
    </row>
    <row r="128" spans="1:17" s="7" customFormat="1" hidden="1" x14ac:dyDescent="0.3">
      <c r="A128" s="8"/>
      <c r="B128" s="408" t="s">
        <v>92</v>
      </c>
      <c r="C128" s="408"/>
      <c r="D128" s="408"/>
      <c r="E128" s="408"/>
      <c r="F128" s="408"/>
      <c r="G128" s="408"/>
      <c r="H128" s="408"/>
      <c r="I128" s="408"/>
      <c r="J128" s="408"/>
      <c r="K128" s="408"/>
      <c r="L128" s="408"/>
      <c r="M128" s="408"/>
      <c r="N128" s="408"/>
      <c r="O128" s="8"/>
      <c r="P128" s="8"/>
      <c r="Q128" s="8"/>
    </row>
    <row r="129" spans="1:17" s="7" customFormat="1" hidden="1" x14ac:dyDescent="0.3">
      <c r="A129" s="8"/>
      <c r="O129" s="8"/>
      <c r="P129" s="8"/>
      <c r="Q129" s="8"/>
    </row>
    <row r="130" spans="1:17" s="7" customFormat="1" hidden="1" x14ac:dyDescent="0.3">
      <c r="A130" s="8"/>
      <c r="B130" s="146" t="s">
        <v>93</v>
      </c>
      <c r="E130" s="163">
        <v>4060000</v>
      </c>
      <c r="F130" s="35" t="s">
        <v>94</v>
      </c>
      <c r="O130" s="8"/>
      <c r="P130" s="8"/>
      <c r="Q130" s="8"/>
    </row>
    <row r="131" spans="1:17" s="7" customFormat="1" hidden="1" x14ac:dyDescent="0.3">
      <c r="A131" s="8"/>
      <c r="B131" s="146" t="s">
        <v>95</v>
      </c>
      <c r="E131" s="163">
        <f>4300000-E130</f>
        <v>240000</v>
      </c>
      <c r="O131" s="8"/>
      <c r="P131" s="8"/>
      <c r="Q131" s="8"/>
    </row>
    <row r="132" spans="1:17" s="7" customFormat="1" hidden="1" x14ac:dyDescent="0.3">
      <c r="A132" s="8"/>
      <c r="B132" s="7" t="s">
        <v>96</v>
      </c>
      <c r="E132" s="163">
        <f>E112-E133-4300000</f>
        <v>35253868.899999991</v>
      </c>
      <c r="K132" s="163"/>
      <c r="N132" s="163"/>
      <c r="O132" s="8"/>
      <c r="P132" s="8"/>
      <c r="Q132" s="8"/>
    </row>
    <row r="133" spans="1:17" s="7" customFormat="1" hidden="1" x14ac:dyDescent="0.3">
      <c r="A133" s="8"/>
      <c r="B133" s="7" t="s">
        <v>97</v>
      </c>
      <c r="E133" s="163">
        <v>15000000</v>
      </c>
      <c r="K133" s="10"/>
      <c r="N133" s="10"/>
      <c r="O133" s="8"/>
      <c r="P133" s="8"/>
      <c r="Q133" s="8"/>
    </row>
    <row r="134" spans="1:17" s="7" customFormat="1" ht="15" hidden="1" thickBot="1" x14ac:dyDescent="0.35">
      <c r="A134" s="8"/>
      <c r="E134" s="164">
        <f>SUM(E130:E133)</f>
        <v>54553868.899999991</v>
      </c>
      <c r="O134" s="8"/>
      <c r="P134" s="8"/>
      <c r="Q134" s="8"/>
    </row>
    <row r="135" spans="1:17" s="7" customFormat="1" hidden="1" x14ac:dyDescent="0.3">
      <c r="A135" s="8"/>
      <c r="O135" s="8"/>
      <c r="P135" s="8"/>
      <c r="Q135" s="8"/>
    </row>
    <row r="136" spans="1:17" s="7" customFormat="1" x14ac:dyDescent="0.3">
      <c r="A136" s="8"/>
      <c r="E136" s="163"/>
      <c r="H136" s="7" t="s">
        <v>6</v>
      </c>
      <c r="J136" s="165">
        <f>SUM(J64:J76)</f>
        <v>50000</v>
      </c>
      <c r="M136" s="165"/>
      <c r="O136" s="8"/>
      <c r="P136" s="8"/>
      <c r="Q136" s="8"/>
    </row>
    <row r="137" spans="1:17" s="7" customFormat="1" x14ac:dyDescent="0.3">
      <c r="A137" s="8"/>
      <c r="O137" s="8"/>
      <c r="P137" s="8"/>
      <c r="Q137" s="8"/>
    </row>
  </sheetData>
  <mergeCells count="4">
    <mergeCell ref="A98:O100"/>
    <mergeCell ref="B105:E105"/>
    <mergeCell ref="H105:N105"/>
    <mergeCell ref="B128:N128"/>
  </mergeCells>
  <printOptions horizontalCentered="1"/>
  <pageMargins left="0.25" right="0.25" top="1" bottom="1" header="0.5" footer="0.5"/>
  <pageSetup scale="87" orientation="landscape" r:id="rId1"/>
  <headerFooter alignWithMargins="0">
    <oddHeader>&amp;CCape Cod Commission
Section 208 Plan Update
Cost/Revenue Model&amp;R&amp;A</oddHeader>
    <oddFooter>&amp;F&amp;RPage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G56"/>
  <sheetViews>
    <sheetView topLeftCell="B1" zoomScale="90" zoomScaleNormal="90" workbookViewId="0">
      <selection activeCell="K13" sqref="K13"/>
    </sheetView>
  </sheetViews>
  <sheetFormatPr defaultColWidth="8.90625" defaultRowHeight="14.4" x14ac:dyDescent="0.3"/>
  <cols>
    <col min="1" max="1" width="2.6328125" style="8" hidden="1" customWidth="1"/>
    <col min="2" max="4" width="15.81640625" style="8" customWidth="1"/>
    <col min="5" max="5" width="15.453125" style="8" customWidth="1"/>
    <col min="6" max="7" width="7.08984375" style="8" hidden="1" customWidth="1"/>
    <col min="8" max="8" width="1.90625" style="8" customWidth="1"/>
    <col min="9" max="16384" width="8.90625" style="8"/>
  </cols>
  <sheetData>
    <row r="1" spans="1:7" x14ac:dyDescent="0.3">
      <c r="B1" s="166"/>
      <c r="C1" s="166"/>
      <c r="D1" s="166"/>
      <c r="E1" s="166"/>
    </row>
    <row r="2" spans="1:7" x14ac:dyDescent="0.3">
      <c r="B2" s="5" t="s">
        <v>12</v>
      </c>
      <c r="C2" s="6"/>
      <c r="D2" s="6"/>
      <c r="E2" s="167"/>
    </row>
    <row r="4" spans="1:7" x14ac:dyDescent="0.3">
      <c r="B4" s="8" t="s">
        <v>14</v>
      </c>
      <c r="D4" s="12">
        <v>41866</v>
      </c>
    </row>
    <row r="5" spans="1:7" x14ac:dyDescent="0.3">
      <c r="B5" s="8" t="s">
        <v>98</v>
      </c>
      <c r="D5" s="13">
        <v>20</v>
      </c>
      <c r="G5" s="8">
        <f>-D5</f>
        <v>-20</v>
      </c>
    </row>
    <row r="6" spans="1:7" x14ac:dyDescent="0.3">
      <c r="B6" s="8" t="s">
        <v>16</v>
      </c>
      <c r="D6" s="15">
        <v>30000000</v>
      </c>
    </row>
    <row r="7" spans="1:7" x14ac:dyDescent="0.3">
      <c r="B7" s="8" t="s">
        <v>17</v>
      </c>
      <c r="D7" s="246">
        <v>0.05</v>
      </c>
    </row>
    <row r="8" spans="1:7" ht="15.6" hidden="1" x14ac:dyDescent="0.3">
      <c r="D8" s="168"/>
    </row>
    <row r="9" spans="1:7" ht="16.2" hidden="1" thickBot="1" x14ac:dyDescent="0.35">
      <c r="B9" s="169" t="s">
        <v>99</v>
      </c>
      <c r="C9" s="170"/>
      <c r="D9" s="171"/>
      <c r="E9" s="172">
        <v>1471635.0065725776</v>
      </c>
    </row>
    <row r="10" spans="1:7" ht="15.6" x14ac:dyDescent="0.3">
      <c r="D10" s="168"/>
    </row>
    <row r="11" spans="1:7" x14ac:dyDescent="0.3">
      <c r="B11" s="409" t="s">
        <v>100</v>
      </c>
      <c r="C11" s="409"/>
      <c r="D11" s="409"/>
      <c r="E11" s="409"/>
    </row>
    <row r="13" spans="1:7" ht="29.25" customHeight="1" x14ac:dyDescent="0.3">
      <c r="B13" s="173" t="s">
        <v>101</v>
      </c>
      <c r="C13" s="173" t="s">
        <v>102</v>
      </c>
      <c r="D13" s="173" t="s">
        <v>3</v>
      </c>
      <c r="E13" s="173" t="s">
        <v>103</v>
      </c>
    </row>
    <row r="15" spans="1:7" x14ac:dyDescent="0.3">
      <c r="A15" s="8">
        <v>1</v>
      </c>
      <c r="B15" s="174">
        <f>IF(A15&lt;=D$5,YEAR(D4)+1,"")</f>
        <v>2015</v>
      </c>
      <c r="C15" s="175">
        <f>IF($A15&lt;=$D$5,D$6/D$5,"")</f>
        <v>1500000</v>
      </c>
      <c r="D15" s="175">
        <f>IF($A15&lt;=$D$5,(D$6-SUM(C$14:C14))*D$7,"")</f>
        <v>1500000</v>
      </c>
      <c r="E15" s="175">
        <f>IF($A15&lt;=$D$5,C15+D15,"")</f>
        <v>3000000</v>
      </c>
    </row>
    <row r="16" spans="1:7" x14ac:dyDescent="0.3">
      <c r="A16" s="8">
        <v>2</v>
      </c>
      <c r="B16" s="174">
        <f>IF(A16&lt;=D$5,B15+1,"")</f>
        <v>2016</v>
      </c>
      <c r="C16" s="176">
        <f t="shared" ref="C16:C54" si="0">IF($A16&lt;=$D$5,D$6/D$5,"")</f>
        <v>1500000</v>
      </c>
      <c r="D16" s="175">
        <f>IF($A16&lt;=$D$5,(D$6-SUM(C$14:C15))*D$7,"")</f>
        <v>1425000</v>
      </c>
      <c r="E16" s="175">
        <f t="shared" ref="E16:E54" si="1">IF($A16&lt;=$D$5,C16+D16,"")</f>
        <v>2925000</v>
      </c>
    </row>
    <row r="17" spans="1:5" x14ac:dyDescent="0.3">
      <c r="A17" s="8">
        <v>3</v>
      </c>
      <c r="B17" s="174">
        <f t="shared" ref="B17:B54" si="2">IF(A17&lt;=D$5,B16+1,"")</f>
        <v>2017</v>
      </c>
      <c r="C17" s="176">
        <f t="shared" si="0"/>
        <v>1500000</v>
      </c>
      <c r="D17" s="175">
        <f>IF($A17&lt;=$D$5,(D$6-SUM(C$14:C16))*D$7,"")</f>
        <v>1350000</v>
      </c>
      <c r="E17" s="175">
        <f t="shared" si="1"/>
        <v>2850000</v>
      </c>
    </row>
    <row r="18" spans="1:5" x14ac:dyDescent="0.3">
      <c r="A18" s="8">
        <v>4</v>
      </c>
      <c r="B18" s="174">
        <f t="shared" si="2"/>
        <v>2018</v>
      </c>
      <c r="C18" s="176">
        <f t="shared" si="0"/>
        <v>1500000</v>
      </c>
      <c r="D18" s="175">
        <f>IF($A18&lt;=$D$5,(D$6-SUM(C$14:C17))*D$7,"")</f>
        <v>1275000</v>
      </c>
      <c r="E18" s="175">
        <f t="shared" si="1"/>
        <v>2775000</v>
      </c>
    </row>
    <row r="19" spans="1:5" x14ac:dyDescent="0.3">
      <c r="A19" s="8">
        <v>5</v>
      </c>
      <c r="B19" s="174">
        <f t="shared" si="2"/>
        <v>2019</v>
      </c>
      <c r="C19" s="176">
        <f t="shared" si="0"/>
        <v>1500000</v>
      </c>
      <c r="D19" s="175">
        <f>IF($A19&lt;=$D$5,(D$6-SUM(C$14:C18))*D$7,"")</f>
        <v>1200000</v>
      </c>
      <c r="E19" s="175">
        <f t="shared" si="1"/>
        <v>2700000</v>
      </c>
    </row>
    <row r="20" spans="1:5" x14ac:dyDescent="0.3">
      <c r="A20" s="8">
        <v>6</v>
      </c>
      <c r="B20" s="174">
        <f t="shared" si="2"/>
        <v>2020</v>
      </c>
      <c r="C20" s="176">
        <f t="shared" si="0"/>
        <v>1500000</v>
      </c>
      <c r="D20" s="175">
        <f>IF($A20&lt;=$D$5,(D$6-SUM(C$14:C19))*D$7,"")</f>
        <v>1125000</v>
      </c>
      <c r="E20" s="175">
        <f t="shared" si="1"/>
        <v>2625000</v>
      </c>
    </row>
    <row r="21" spans="1:5" x14ac:dyDescent="0.3">
      <c r="A21" s="8">
        <v>7</v>
      </c>
      <c r="B21" s="174">
        <f t="shared" si="2"/>
        <v>2021</v>
      </c>
      <c r="C21" s="176">
        <f t="shared" si="0"/>
        <v>1500000</v>
      </c>
      <c r="D21" s="175">
        <f>IF($A21&lt;=$D$5,(D$6-SUM(C$14:C20))*D$7,"")</f>
        <v>1050000</v>
      </c>
      <c r="E21" s="175">
        <f t="shared" si="1"/>
        <v>2550000</v>
      </c>
    </row>
    <row r="22" spans="1:5" x14ac:dyDescent="0.3">
      <c r="A22" s="8">
        <v>8</v>
      </c>
      <c r="B22" s="174">
        <f t="shared" si="2"/>
        <v>2022</v>
      </c>
      <c r="C22" s="176">
        <f t="shared" si="0"/>
        <v>1500000</v>
      </c>
      <c r="D22" s="175">
        <f>IF($A22&lt;=$D$5,(D$6-SUM(C$14:C21))*D$7,"")</f>
        <v>975000</v>
      </c>
      <c r="E22" s="175">
        <f t="shared" si="1"/>
        <v>2475000</v>
      </c>
    </row>
    <row r="23" spans="1:5" x14ac:dyDescent="0.3">
      <c r="A23" s="8">
        <v>9</v>
      </c>
      <c r="B23" s="174">
        <f t="shared" si="2"/>
        <v>2023</v>
      </c>
      <c r="C23" s="176">
        <f t="shared" si="0"/>
        <v>1500000</v>
      </c>
      <c r="D23" s="175">
        <f>IF($A23&lt;=$D$5,(D$6-SUM(C$14:C22))*D$7,"")</f>
        <v>900000</v>
      </c>
      <c r="E23" s="175">
        <f t="shared" si="1"/>
        <v>2400000</v>
      </c>
    </row>
    <row r="24" spans="1:5" x14ac:dyDescent="0.3">
      <c r="A24" s="8">
        <v>10</v>
      </c>
      <c r="B24" s="174">
        <f t="shared" si="2"/>
        <v>2024</v>
      </c>
      <c r="C24" s="176">
        <f t="shared" si="0"/>
        <v>1500000</v>
      </c>
      <c r="D24" s="175">
        <f>IF($A24&lt;=$D$5,(D$6-SUM(C$14:C23))*D$7,"")</f>
        <v>825000</v>
      </c>
      <c r="E24" s="175">
        <f t="shared" si="1"/>
        <v>2325000</v>
      </c>
    </row>
    <row r="25" spans="1:5" x14ac:dyDescent="0.3">
      <c r="A25" s="8">
        <v>11</v>
      </c>
      <c r="B25" s="174">
        <f t="shared" si="2"/>
        <v>2025</v>
      </c>
      <c r="C25" s="176">
        <f t="shared" si="0"/>
        <v>1500000</v>
      </c>
      <c r="D25" s="175">
        <f>IF($A25&lt;=$D$5,(D$6-SUM(C$14:C24))*D$7,"")</f>
        <v>750000</v>
      </c>
      <c r="E25" s="175">
        <f t="shared" si="1"/>
        <v>2250000</v>
      </c>
    </row>
    <row r="26" spans="1:5" x14ac:dyDescent="0.3">
      <c r="A26" s="8">
        <v>12</v>
      </c>
      <c r="B26" s="174">
        <f t="shared" si="2"/>
        <v>2026</v>
      </c>
      <c r="C26" s="176">
        <f t="shared" si="0"/>
        <v>1500000</v>
      </c>
      <c r="D26" s="175">
        <f>IF($A26&lt;=$D$5,(D$6-SUM(C$14:C25))*D$7,"")</f>
        <v>675000</v>
      </c>
      <c r="E26" s="175">
        <f t="shared" si="1"/>
        <v>2175000</v>
      </c>
    </row>
    <row r="27" spans="1:5" x14ac:dyDescent="0.3">
      <c r="A27" s="8">
        <v>13</v>
      </c>
      <c r="B27" s="174">
        <f t="shared" si="2"/>
        <v>2027</v>
      </c>
      <c r="C27" s="176">
        <f t="shared" si="0"/>
        <v>1500000</v>
      </c>
      <c r="D27" s="175">
        <f>IF($A27&lt;=$D$5,(D$6-SUM(C$14:C26))*D$7,"")</f>
        <v>600000</v>
      </c>
      <c r="E27" s="175">
        <f t="shared" si="1"/>
        <v>2100000</v>
      </c>
    </row>
    <row r="28" spans="1:5" x14ac:dyDescent="0.3">
      <c r="A28" s="8">
        <v>14</v>
      </c>
      <c r="B28" s="174">
        <f t="shared" si="2"/>
        <v>2028</v>
      </c>
      <c r="C28" s="176">
        <f t="shared" si="0"/>
        <v>1500000</v>
      </c>
      <c r="D28" s="175">
        <f>IF($A28&lt;=$D$5,(D$6-SUM(C$14:C27))*D$7,"")</f>
        <v>525000</v>
      </c>
      <c r="E28" s="175">
        <f t="shared" si="1"/>
        <v>2025000</v>
      </c>
    </row>
    <row r="29" spans="1:5" x14ac:dyDescent="0.3">
      <c r="A29" s="8">
        <v>15</v>
      </c>
      <c r="B29" s="174">
        <f t="shared" si="2"/>
        <v>2029</v>
      </c>
      <c r="C29" s="176">
        <f t="shared" si="0"/>
        <v>1500000</v>
      </c>
      <c r="D29" s="175">
        <f>IF($A29&lt;=$D$5,(D$6-SUM(C$14:C28))*D$7,"")</f>
        <v>450000</v>
      </c>
      <c r="E29" s="175">
        <f t="shared" si="1"/>
        <v>1950000</v>
      </c>
    </row>
    <row r="30" spans="1:5" x14ac:dyDescent="0.3">
      <c r="A30" s="8">
        <v>16</v>
      </c>
      <c r="B30" s="174">
        <f t="shared" si="2"/>
        <v>2030</v>
      </c>
      <c r="C30" s="176">
        <f t="shared" si="0"/>
        <v>1500000</v>
      </c>
      <c r="D30" s="175">
        <f>IF($A30&lt;=$D$5,(D$6-SUM(C$14:C29))*D$7,"")</f>
        <v>375000</v>
      </c>
      <c r="E30" s="175">
        <f t="shared" si="1"/>
        <v>1875000</v>
      </c>
    </row>
    <row r="31" spans="1:5" x14ac:dyDescent="0.3">
      <c r="A31" s="8">
        <v>17</v>
      </c>
      <c r="B31" s="174">
        <f t="shared" si="2"/>
        <v>2031</v>
      </c>
      <c r="C31" s="176">
        <f t="shared" si="0"/>
        <v>1500000</v>
      </c>
      <c r="D31" s="175">
        <f>IF($A31&lt;=$D$5,(D$6-SUM(C$14:C30))*D$7,"")</f>
        <v>300000</v>
      </c>
      <c r="E31" s="175">
        <f t="shared" si="1"/>
        <v>1800000</v>
      </c>
    </row>
    <row r="32" spans="1:5" x14ac:dyDescent="0.3">
      <c r="A32" s="8">
        <v>18</v>
      </c>
      <c r="B32" s="174">
        <f t="shared" si="2"/>
        <v>2032</v>
      </c>
      <c r="C32" s="176">
        <f t="shared" si="0"/>
        <v>1500000</v>
      </c>
      <c r="D32" s="175">
        <f>IF($A32&lt;=$D$5,(D$6-SUM(C$14:C31))*D$7,"")</f>
        <v>225000</v>
      </c>
      <c r="E32" s="175">
        <f t="shared" si="1"/>
        <v>1725000</v>
      </c>
    </row>
    <row r="33" spans="1:5" x14ac:dyDescent="0.3">
      <c r="A33" s="8">
        <v>19</v>
      </c>
      <c r="B33" s="174">
        <f t="shared" si="2"/>
        <v>2033</v>
      </c>
      <c r="C33" s="176">
        <f t="shared" si="0"/>
        <v>1500000</v>
      </c>
      <c r="D33" s="175">
        <f>IF($A33&lt;=$D$5,(D$6-SUM(C$14:C32))*D$7,"")</f>
        <v>150000</v>
      </c>
      <c r="E33" s="175">
        <f t="shared" si="1"/>
        <v>1650000</v>
      </c>
    </row>
    <row r="34" spans="1:5" x14ac:dyDescent="0.3">
      <c r="A34" s="8">
        <v>20</v>
      </c>
      <c r="B34" s="174">
        <f t="shared" si="2"/>
        <v>2034</v>
      </c>
      <c r="C34" s="176">
        <f t="shared" si="0"/>
        <v>1500000</v>
      </c>
      <c r="D34" s="175">
        <f>IF($A34&lt;=$D$5,(D$6-SUM(C$14:C33))*D$7,"")</f>
        <v>75000</v>
      </c>
      <c r="E34" s="175">
        <f t="shared" si="1"/>
        <v>1575000</v>
      </c>
    </row>
    <row r="35" spans="1:5" x14ac:dyDescent="0.3">
      <c r="A35" s="8">
        <v>21</v>
      </c>
      <c r="B35" s="174" t="str">
        <f t="shared" si="2"/>
        <v/>
      </c>
      <c r="C35" s="176" t="str">
        <f t="shared" si="0"/>
        <v/>
      </c>
      <c r="D35" s="175" t="str">
        <f>IF($A35&lt;=$D$5,(D$6-SUM(C$14:C34))*D$7,"")</f>
        <v/>
      </c>
      <c r="E35" s="175" t="str">
        <f t="shared" si="1"/>
        <v/>
      </c>
    </row>
    <row r="36" spans="1:5" x14ac:dyDescent="0.3">
      <c r="A36" s="8">
        <v>22</v>
      </c>
      <c r="B36" s="174" t="str">
        <f t="shared" si="2"/>
        <v/>
      </c>
      <c r="C36" s="176" t="str">
        <f t="shared" si="0"/>
        <v/>
      </c>
      <c r="D36" s="175" t="str">
        <f>IF($A36&lt;=$D$5,(D$6-SUM(C$14:C35))*D$7,"")</f>
        <v/>
      </c>
      <c r="E36" s="175" t="str">
        <f t="shared" si="1"/>
        <v/>
      </c>
    </row>
    <row r="37" spans="1:5" x14ac:dyDescent="0.3">
      <c r="A37" s="8">
        <v>23</v>
      </c>
      <c r="B37" s="174" t="str">
        <f t="shared" si="2"/>
        <v/>
      </c>
      <c r="C37" s="176" t="str">
        <f t="shared" si="0"/>
        <v/>
      </c>
      <c r="D37" s="175" t="str">
        <f>IF($A37&lt;=$D$5,(D$6-SUM(C$14:C36))*D$7,"")</f>
        <v/>
      </c>
      <c r="E37" s="175" t="str">
        <f t="shared" si="1"/>
        <v/>
      </c>
    </row>
    <row r="38" spans="1:5" x14ac:dyDescent="0.3">
      <c r="A38" s="8">
        <v>24</v>
      </c>
      <c r="B38" s="174" t="str">
        <f t="shared" si="2"/>
        <v/>
      </c>
      <c r="C38" s="176" t="str">
        <f t="shared" si="0"/>
        <v/>
      </c>
      <c r="D38" s="175" t="str">
        <f>IF($A38&lt;=$D$5,(D$6-SUM(C$14:C37))*D$7,"")</f>
        <v/>
      </c>
      <c r="E38" s="175" t="str">
        <f t="shared" si="1"/>
        <v/>
      </c>
    </row>
    <row r="39" spans="1:5" x14ac:dyDescent="0.3">
      <c r="A39" s="8">
        <v>25</v>
      </c>
      <c r="B39" s="174" t="str">
        <f t="shared" si="2"/>
        <v/>
      </c>
      <c r="C39" s="176" t="str">
        <f t="shared" si="0"/>
        <v/>
      </c>
      <c r="D39" s="175" t="str">
        <f>IF($A39&lt;=$D$5,(D$6-SUM(C$14:C38))*D$7,"")</f>
        <v/>
      </c>
      <c r="E39" s="175" t="str">
        <f t="shared" si="1"/>
        <v/>
      </c>
    </row>
    <row r="40" spans="1:5" x14ac:dyDescent="0.3">
      <c r="A40" s="8">
        <v>26</v>
      </c>
      <c r="B40" s="174" t="str">
        <f t="shared" si="2"/>
        <v/>
      </c>
      <c r="C40" s="176" t="str">
        <f t="shared" si="0"/>
        <v/>
      </c>
      <c r="D40" s="175" t="str">
        <f>IF($A40&lt;=$D$5,(D$6-SUM(C$14:C39))*D$7,"")</f>
        <v/>
      </c>
      <c r="E40" s="175" t="str">
        <f t="shared" si="1"/>
        <v/>
      </c>
    </row>
    <row r="41" spans="1:5" x14ac:dyDescent="0.3">
      <c r="A41" s="8">
        <v>27</v>
      </c>
      <c r="B41" s="174" t="str">
        <f t="shared" si="2"/>
        <v/>
      </c>
      <c r="C41" s="176" t="str">
        <f t="shared" si="0"/>
        <v/>
      </c>
      <c r="D41" s="175" t="str">
        <f>IF($A41&lt;=$D$5,(D$6-SUM(C$14:C40))*D$7,"")</f>
        <v/>
      </c>
      <c r="E41" s="175" t="str">
        <f t="shared" si="1"/>
        <v/>
      </c>
    </row>
    <row r="42" spans="1:5" x14ac:dyDescent="0.3">
      <c r="A42" s="8">
        <v>28</v>
      </c>
      <c r="B42" s="174" t="str">
        <f t="shared" si="2"/>
        <v/>
      </c>
      <c r="C42" s="176" t="str">
        <f t="shared" si="0"/>
        <v/>
      </c>
      <c r="D42" s="175" t="str">
        <f>IF($A42&lt;=$D$5,(D$6-SUM(C$14:C41))*D$7,"")</f>
        <v/>
      </c>
      <c r="E42" s="175" t="str">
        <f t="shared" si="1"/>
        <v/>
      </c>
    </row>
    <row r="43" spans="1:5" x14ac:dyDescent="0.3">
      <c r="A43" s="8">
        <v>29</v>
      </c>
      <c r="B43" s="174" t="str">
        <f t="shared" si="2"/>
        <v/>
      </c>
      <c r="C43" s="176" t="str">
        <f t="shared" si="0"/>
        <v/>
      </c>
      <c r="D43" s="175" t="str">
        <f>IF($A43&lt;=$D$5,(D$6-SUM(C$14:C42))*D$7,"")</f>
        <v/>
      </c>
      <c r="E43" s="175" t="str">
        <f t="shared" si="1"/>
        <v/>
      </c>
    </row>
    <row r="44" spans="1:5" x14ac:dyDescent="0.3">
      <c r="A44" s="8">
        <v>30</v>
      </c>
      <c r="B44" s="174" t="str">
        <f t="shared" si="2"/>
        <v/>
      </c>
      <c r="C44" s="176" t="str">
        <f t="shared" si="0"/>
        <v/>
      </c>
      <c r="D44" s="175" t="str">
        <f>IF($A44&lt;=$D$5,(D$6-SUM(C$14:C43))*D$7,"")</f>
        <v/>
      </c>
      <c r="E44" s="175" t="str">
        <f t="shared" si="1"/>
        <v/>
      </c>
    </row>
    <row r="45" spans="1:5" x14ac:dyDescent="0.3">
      <c r="A45" s="8">
        <v>31</v>
      </c>
      <c r="B45" s="174" t="str">
        <f t="shared" si="2"/>
        <v/>
      </c>
      <c r="C45" s="176" t="str">
        <f t="shared" si="0"/>
        <v/>
      </c>
      <c r="D45" s="175" t="str">
        <f>IF($A45&lt;=$D$5,(D$6-SUM(C$14:C44))*D$7,"")</f>
        <v/>
      </c>
      <c r="E45" s="175" t="str">
        <f t="shared" si="1"/>
        <v/>
      </c>
    </row>
    <row r="46" spans="1:5" x14ac:dyDescent="0.3">
      <c r="A46" s="8">
        <v>32</v>
      </c>
      <c r="B46" s="174" t="str">
        <f t="shared" si="2"/>
        <v/>
      </c>
      <c r="C46" s="176" t="str">
        <f t="shared" si="0"/>
        <v/>
      </c>
      <c r="D46" s="175" t="str">
        <f>IF($A46&lt;=$D$5,(D$6-SUM(C$14:C45))*D$7,"")</f>
        <v/>
      </c>
      <c r="E46" s="175" t="str">
        <f t="shared" si="1"/>
        <v/>
      </c>
    </row>
    <row r="47" spans="1:5" x14ac:dyDescent="0.3">
      <c r="A47" s="8">
        <v>33</v>
      </c>
      <c r="B47" s="174" t="str">
        <f t="shared" si="2"/>
        <v/>
      </c>
      <c r="C47" s="176" t="str">
        <f t="shared" si="0"/>
        <v/>
      </c>
      <c r="D47" s="175" t="str">
        <f>IF($A47&lt;=$D$5,(D$6-SUM(C$14:C46))*D$7,"")</f>
        <v/>
      </c>
      <c r="E47" s="175" t="str">
        <f t="shared" si="1"/>
        <v/>
      </c>
    </row>
    <row r="48" spans="1:5" x14ac:dyDescent="0.3">
      <c r="A48" s="8">
        <v>34</v>
      </c>
      <c r="B48" s="174" t="str">
        <f t="shared" si="2"/>
        <v/>
      </c>
      <c r="C48" s="176" t="str">
        <f t="shared" si="0"/>
        <v/>
      </c>
      <c r="D48" s="175" t="str">
        <f>IF($A48&lt;=$D$5,(D$6-SUM(C$14:C47))*D$7,"")</f>
        <v/>
      </c>
      <c r="E48" s="175" t="str">
        <f t="shared" si="1"/>
        <v/>
      </c>
    </row>
    <row r="49" spans="1:5" x14ac:dyDescent="0.3">
      <c r="A49" s="8">
        <v>35</v>
      </c>
      <c r="B49" s="174" t="str">
        <f t="shared" si="2"/>
        <v/>
      </c>
      <c r="C49" s="176" t="str">
        <f t="shared" si="0"/>
        <v/>
      </c>
      <c r="D49" s="175" t="str">
        <f>IF($A49&lt;=$D$5,(D$6-SUM(C$14:C48))*D$7,"")</f>
        <v/>
      </c>
      <c r="E49" s="175" t="str">
        <f t="shared" si="1"/>
        <v/>
      </c>
    </row>
    <row r="50" spans="1:5" x14ac:dyDescent="0.3">
      <c r="A50" s="8">
        <v>36</v>
      </c>
      <c r="B50" s="174" t="str">
        <f t="shared" si="2"/>
        <v/>
      </c>
      <c r="C50" s="176" t="str">
        <f t="shared" si="0"/>
        <v/>
      </c>
      <c r="D50" s="175" t="str">
        <f>IF($A50&lt;=$D$5,(D$6-SUM(C$14:C49))*D$7,"")</f>
        <v/>
      </c>
      <c r="E50" s="175" t="str">
        <f t="shared" si="1"/>
        <v/>
      </c>
    </row>
    <row r="51" spans="1:5" x14ac:dyDescent="0.3">
      <c r="A51" s="8">
        <v>37</v>
      </c>
      <c r="B51" s="174" t="str">
        <f t="shared" si="2"/>
        <v/>
      </c>
      <c r="C51" s="176" t="str">
        <f t="shared" si="0"/>
        <v/>
      </c>
      <c r="D51" s="175" t="str">
        <f>IF($A51&lt;=$D$5,(D$6-SUM(C$14:C50))*D$7,"")</f>
        <v/>
      </c>
      <c r="E51" s="175" t="str">
        <f t="shared" si="1"/>
        <v/>
      </c>
    </row>
    <row r="52" spans="1:5" x14ac:dyDescent="0.3">
      <c r="A52" s="8">
        <v>38</v>
      </c>
      <c r="B52" s="174" t="str">
        <f t="shared" si="2"/>
        <v/>
      </c>
      <c r="C52" s="176" t="str">
        <f t="shared" si="0"/>
        <v/>
      </c>
      <c r="D52" s="175" t="str">
        <f>IF($A52&lt;=$D$5,(D$6-SUM(C$14:C51))*D$7,"")</f>
        <v/>
      </c>
      <c r="E52" s="175" t="str">
        <f t="shared" si="1"/>
        <v/>
      </c>
    </row>
    <row r="53" spans="1:5" x14ac:dyDescent="0.3">
      <c r="A53" s="8">
        <v>39</v>
      </c>
      <c r="B53" s="174" t="str">
        <f t="shared" si="2"/>
        <v/>
      </c>
      <c r="C53" s="176" t="str">
        <f t="shared" si="0"/>
        <v/>
      </c>
      <c r="D53" s="175" t="str">
        <f>IF($A53&lt;=$D$5,(D$6-SUM(C$14:C52))*D$7,"")</f>
        <v/>
      </c>
      <c r="E53" s="175" t="str">
        <f t="shared" si="1"/>
        <v/>
      </c>
    </row>
    <row r="54" spans="1:5" x14ac:dyDescent="0.3">
      <c r="A54" s="8">
        <v>40</v>
      </c>
      <c r="B54" s="174" t="str">
        <f t="shared" si="2"/>
        <v/>
      </c>
      <c r="C54" s="176" t="str">
        <f t="shared" si="0"/>
        <v/>
      </c>
      <c r="D54" s="175" t="str">
        <f>IF($A54&lt;=$D$5,(D$6-SUM(C$14:C53))*D$7,"")</f>
        <v/>
      </c>
      <c r="E54" s="175" t="str">
        <f t="shared" si="1"/>
        <v/>
      </c>
    </row>
    <row r="56" spans="1:5" x14ac:dyDescent="0.3">
      <c r="B56" s="177" t="s">
        <v>2</v>
      </c>
      <c r="C56" s="178">
        <f>SUM(C15:C55)</f>
        <v>30000000</v>
      </c>
      <c r="D56" s="178">
        <f t="shared" ref="D56:E56" si="3">SUM(D15:D55)</f>
        <v>15750000</v>
      </c>
      <c r="E56" s="178">
        <f t="shared" si="3"/>
        <v>45750000</v>
      </c>
    </row>
  </sheetData>
  <mergeCells count="1">
    <mergeCell ref="B11:E11"/>
  </mergeCells>
  <pageMargins left="0.7" right="0.7" top="0.75" bottom="0.75" header="0.3" footer="0.3"/>
  <pageSetup orientation="portrait" r:id="rId1"/>
  <headerFooter>
    <oddHeader>&amp;CCape Cod Commission
Section 208 Plan Update
Cost/Revenue Model&amp;R&amp;A</oddHeader>
    <oddFooter>&amp;C&amp;F&amp;RPage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W106"/>
  <sheetViews>
    <sheetView topLeftCell="B1" zoomScaleNormal="100" workbookViewId="0">
      <selection activeCell="D91" sqref="D91"/>
    </sheetView>
  </sheetViews>
  <sheetFormatPr defaultRowHeight="14.4" x14ac:dyDescent="0.3"/>
  <cols>
    <col min="1" max="1" width="2.08984375" style="179" hidden="1" customWidth="1"/>
    <col min="2" max="2" width="7.453125" style="182" customWidth="1"/>
    <col min="3" max="3" width="0.453125" style="181" customWidth="1"/>
    <col min="4" max="4" width="10.81640625" style="182" bestFit="1" customWidth="1"/>
    <col min="5" max="5" width="0.453125" style="181" customWidth="1"/>
    <col min="6" max="6" width="9.90625" style="181" bestFit="1" customWidth="1"/>
    <col min="7" max="7" width="0.453125" style="181" customWidth="1"/>
    <col min="8" max="8" width="10.81640625" style="181" bestFit="1" customWidth="1"/>
    <col min="9" max="9" width="0.36328125" style="181" customWidth="1"/>
    <col min="10" max="10" width="9.08984375" style="181" bestFit="1" customWidth="1"/>
    <col min="11" max="11" width="0.453125" style="181" customWidth="1"/>
    <col min="12" max="12" width="10.36328125" style="181" customWidth="1"/>
    <col min="13" max="13" width="0.36328125" style="181" customWidth="1"/>
    <col min="14" max="14" width="9.90625" style="181" bestFit="1" customWidth="1"/>
    <col min="15" max="15" width="0.453125" style="181" customWidth="1"/>
    <col min="16" max="16" width="10.81640625" style="181" bestFit="1" customWidth="1"/>
    <col min="17" max="17" width="4.1796875" style="186" bestFit="1" customWidth="1"/>
    <col min="18" max="18" width="10.54296875" style="181" hidden="1" customWidth="1"/>
    <col min="19" max="19" width="9.6328125" style="181" hidden="1" customWidth="1"/>
    <col min="20" max="20" width="11.36328125" style="181" hidden="1" customWidth="1"/>
    <col min="21" max="21" width="10.54296875" style="181" hidden="1" customWidth="1"/>
    <col min="22" max="22" width="1.36328125" style="179" customWidth="1"/>
    <col min="23" max="256" width="8.90625" style="179"/>
    <col min="257" max="257" width="7.453125" style="179" customWidth="1"/>
    <col min="258" max="258" width="0.453125" style="179" customWidth="1"/>
    <col min="259" max="259" width="10.81640625" style="179" bestFit="1" customWidth="1"/>
    <col min="260" max="260" width="0.453125" style="179" customWidth="1"/>
    <col min="261" max="261" width="9.90625" style="179" bestFit="1" customWidth="1"/>
    <col min="262" max="262" width="0.453125" style="179" customWidth="1"/>
    <col min="263" max="263" width="10.81640625" style="179" bestFit="1" customWidth="1"/>
    <col min="264" max="264" width="0.36328125" style="179" customWidth="1"/>
    <col min="265" max="265" width="9.08984375" style="179" bestFit="1" customWidth="1"/>
    <col min="266" max="266" width="0.453125" style="179" customWidth="1"/>
    <col min="267" max="267" width="10.36328125" style="179" customWidth="1"/>
    <col min="268" max="268" width="0.36328125" style="179" customWidth="1"/>
    <col min="269" max="269" width="9.90625" style="179" bestFit="1" customWidth="1"/>
    <col min="270" max="270" width="0.453125" style="179" customWidth="1"/>
    <col min="271" max="271" width="10.81640625" style="179" bestFit="1" customWidth="1"/>
    <col min="272" max="272" width="4.1796875" style="179" bestFit="1" customWidth="1"/>
    <col min="273" max="273" width="10.54296875" style="179" bestFit="1" customWidth="1"/>
    <col min="274" max="274" width="9.6328125" style="179" bestFit="1" customWidth="1"/>
    <col min="275" max="275" width="11.36328125" style="179" bestFit="1" customWidth="1"/>
    <col min="276" max="276" width="10.54296875" style="179" bestFit="1" customWidth="1"/>
    <col min="277" max="512" width="8.90625" style="179"/>
    <col min="513" max="513" width="7.453125" style="179" customWidth="1"/>
    <col min="514" max="514" width="0.453125" style="179" customWidth="1"/>
    <col min="515" max="515" width="10.81640625" style="179" bestFit="1" customWidth="1"/>
    <col min="516" max="516" width="0.453125" style="179" customWidth="1"/>
    <col min="517" max="517" width="9.90625" style="179" bestFit="1" customWidth="1"/>
    <col min="518" max="518" width="0.453125" style="179" customWidth="1"/>
    <col min="519" max="519" width="10.81640625" style="179" bestFit="1" customWidth="1"/>
    <col min="520" max="520" width="0.36328125" style="179" customWidth="1"/>
    <col min="521" max="521" width="9.08984375" style="179" bestFit="1" customWidth="1"/>
    <col min="522" max="522" width="0.453125" style="179" customWidth="1"/>
    <col min="523" max="523" width="10.36328125" style="179" customWidth="1"/>
    <col min="524" max="524" width="0.36328125" style="179" customWidth="1"/>
    <col min="525" max="525" width="9.90625" style="179" bestFit="1" customWidth="1"/>
    <col min="526" max="526" width="0.453125" style="179" customWidth="1"/>
    <col min="527" max="527" width="10.81640625" style="179" bestFit="1" customWidth="1"/>
    <col min="528" max="528" width="4.1796875" style="179" bestFit="1" customWidth="1"/>
    <col min="529" max="529" width="10.54296875" style="179" bestFit="1" customWidth="1"/>
    <col min="530" max="530" width="9.6328125" style="179" bestFit="1" customWidth="1"/>
    <col min="531" max="531" width="11.36328125" style="179" bestFit="1" customWidth="1"/>
    <col min="532" max="532" width="10.54296875" style="179" bestFit="1" customWidth="1"/>
    <col min="533" max="768" width="8.90625" style="179"/>
    <col min="769" max="769" width="7.453125" style="179" customWidth="1"/>
    <col min="770" max="770" width="0.453125" style="179" customWidth="1"/>
    <col min="771" max="771" width="10.81640625" style="179" bestFit="1" customWidth="1"/>
    <col min="772" max="772" width="0.453125" style="179" customWidth="1"/>
    <col min="773" max="773" width="9.90625" style="179" bestFit="1" customWidth="1"/>
    <col min="774" max="774" width="0.453125" style="179" customWidth="1"/>
    <col min="775" max="775" width="10.81640625" style="179" bestFit="1" customWidth="1"/>
    <col min="776" max="776" width="0.36328125" style="179" customWidth="1"/>
    <col min="777" max="777" width="9.08984375" style="179" bestFit="1" customWidth="1"/>
    <col min="778" max="778" width="0.453125" style="179" customWidth="1"/>
    <col min="779" max="779" width="10.36328125" style="179" customWidth="1"/>
    <col min="780" max="780" width="0.36328125" style="179" customWidth="1"/>
    <col min="781" max="781" width="9.90625" style="179" bestFit="1" customWidth="1"/>
    <col min="782" max="782" width="0.453125" style="179" customWidth="1"/>
    <col min="783" max="783" width="10.81640625" style="179" bestFit="1" customWidth="1"/>
    <col min="784" max="784" width="4.1796875" style="179" bestFit="1" customWidth="1"/>
    <col min="785" max="785" width="10.54296875" style="179" bestFit="1" customWidth="1"/>
    <col min="786" max="786" width="9.6328125" style="179" bestFit="1" customWidth="1"/>
    <col min="787" max="787" width="11.36328125" style="179" bestFit="1" customWidth="1"/>
    <col min="788" max="788" width="10.54296875" style="179" bestFit="1" customWidth="1"/>
    <col min="789" max="1024" width="8.90625" style="179"/>
    <col min="1025" max="1025" width="7.453125" style="179" customWidth="1"/>
    <col min="1026" max="1026" width="0.453125" style="179" customWidth="1"/>
    <col min="1027" max="1027" width="10.81640625" style="179" bestFit="1" customWidth="1"/>
    <col min="1028" max="1028" width="0.453125" style="179" customWidth="1"/>
    <col min="1029" max="1029" width="9.90625" style="179" bestFit="1" customWidth="1"/>
    <col min="1030" max="1030" width="0.453125" style="179" customWidth="1"/>
    <col min="1031" max="1031" width="10.81640625" style="179" bestFit="1" customWidth="1"/>
    <col min="1032" max="1032" width="0.36328125" style="179" customWidth="1"/>
    <col min="1033" max="1033" width="9.08984375" style="179" bestFit="1" customWidth="1"/>
    <col min="1034" max="1034" width="0.453125" style="179" customWidth="1"/>
    <col min="1035" max="1035" width="10.36328125" style="179" customWidth="1"/>
    <col min="1036" max="1036" width="0.36328125" style="179" customWidth="1"/>
    <col min="1037" max="1037" width="9.90625" style="179" bestFit="1" customWidth="1"/>
    <col min="1038" max="1038" width="0.453125" style="179" customWidth="1"/>
    <col min="1039" max="1039" width="10.81640625" style="179" bestFit="1" customWidth="1"/>
    <col min="1040" max="1040" width="4.1796875" style="179" bestFit="1" customWidth="1"/>
    <col min="1041" max="1041" width="10.54296875" style="179" bestFit="1" customWidth="1"/>
    <col min="1042" max="1042" width="9.6328125" style="179" bestFit="1" customWidth="1"/>
    <col min="1043" max="1043" width="11.36328125" style="179" bestFit="1" customWidth="1"/>
    <col min="1044" max="1044" width="10.54296875" style="179" bestFit="1" customWidth="1"/>
    <col min="1045" max="1280" width="8.90625" style="179"/>
    <col min="1281" max="1281" width="7.453125" style="179" customWidth="1"/>
    <col min="1282" max="1282" width="0.453125" style="179" customWidth="1"/>
    <col min="1283" max="1283" width="10.81640625" style="179" bestFit="1" customWidth="1"/>
    <col min="1284" max="1284" width="0.453125" style="179" customWidth="1"/>
    <col min="1285" max="1285" width="9.90625" style="179" bestFit="1" customWidth="1"/>
    <col min="1286" max="1286" width="0.453125" style="179" customWidth="1"/>
    <col min="1287" max="1287" width="10.81640625" style="179" bestFit="1" customWidth="1"/>
    <col min="1288" max="1288" width="0.36328125" style="179" customWidth="1"/>
    <col min="1289" max="1289" width="9.08984375" style="179" bestFit="1" customWidth="1"/>
    <col min="1290" max="1290" width="0.453125" style="179" customWidth="1"/>
    <col min="1291" max="1291" width="10.36328125" style="179" customWidth="1"/>
    <col min="1292" max="1292" width="0.36328125" style="179" customWidth="1"/>
    <col min="1293" max="1293" width="9.90625" style="179" bestFit="1" customWidth="1"/>
    <col min="1294" max="1294" width="0.453125" style="179" customWidth="1"/>
    <col min="1295" max="1295" width="10.81640625" style="179" bestFit="1" customWidth="1"/>
    <col min="1296" max="1296" width="4.1796875" style="179" bestFit="1" customWidth="1"/>
    <col min="1297" max="1297" width="10.54296875" style="179" bestFit="1" customWidth="1"/>
    <col min="1298" max="1298" width="9.6328125" style="179" bestFit="1" customWidth="1"/>
    <col min="1299" max="1299" width="11.36328125" style="179" bestFit="1" customWidth="1"/>
    <col min="1300" max="1300" width="10.54296875" style="179" bestFit="1" customWidth="1"/>
    <col min="1301" max="1536" width="8.90625" style="179"/>
    <col min="1537" max="1537" width="7.453125" style="179" customWidth="1"/>
    <col min="1538" max="1538" width="0.453125" style="179" customWidth="1"/>
    <col min="1539" max="1539" width="10.81640625" style="179" bestFit="1" customWidth="1"/>
    <col min="1540" max="1540" width="0.453125" style="179" customWidth="1"/>
    <col min="1541" max="1541" width="9.90625" style="179" bestFit="1" customWidth="1"/>
    <col min="1542" max="1542" width="0.453125" style="179" customWidth="1"/>
    <col min="1543" max="1543" width="10.81640625" style="179" bestFit="1" customWidth="1"/>
    <col min="1544" max="1544" width="0.36328125" style="179" customWidth="1"/>
    <col min="1545" max="1545" width="9.08984375" style="179" bestFit="1" customWidth="1"/>
    <col min="1546" max="1546" width="0.453125" style="179" customWidth="1"/>
    <col min="1547" max="1547" width="10.36328125" style="179" customWidth="1"/>
    <col min="1548" max="1548" width="0.36328125" style="179" customWidth="1"/>
    <col min="1549" max="1549" width="9.90625" style="179" bestFit="1" customWidth="1"/>
    <col min="1550" max="1550" width="0.453125" style="179" customWidth="1"/>
    <col min="1551" max="1551" width="10.81640625" style="179" bestFit="1" customWidth="1"/>
    <col min="1552" max="1552" width="4.1796875" style="179" bestFit="1" customWidth="1"/>
    <col min="1553" max="1553" width="10.54296875" style="179" bestFit="1" customWidth="1"/>
    <col min="1554" max="1554" width="9.6328125" style="179" bestFit="1" customWidth="1"/>
    <col min="1555" max="1555" width="11.36328125" style="179" bestFit="1" customWidth="1"/>
    <col min="1556" max="1556" width="10.54296875" style="179" bestFit="1" customWidth="1"/>
    <col min="1557" max="1792" width="8.90625" style="179"/>
    <col min="1793" max="1793" width="7.453125" style="179" customWidth="1"/>
    <col min="1794" max="1794" width="0.453125" style="179" customWidth="1"/>
    <col min="1795" max="1795" width="10.81640625" style="179" bestFit="1" customWidth="1"/>
    <col min="1796" max="1796" width="0.453125" style="179" customWidth="1"/>
    <col min="1797" max="1797" width="9.90625" style="179" bestFit="1" customWidth="1"/>
    <col min="1798" max="1798" width="0.453125" style="179" customWidth="1"/>
    <col min="1799" max="1799" width="10.81640625" style="179" bestFit="1" customWidth="1"/>
    <col min="1800" max="1800" width="0.36328125" style="179" customWidth="1"/>
    <col min="1801" max="1801" width="9.08984375" style="179" bestFit="1" customWidth="1"/>
    <col min="1802" max="1802" width="0.453125" style="179" customWidth="1"/>
    <col min="1803" max="1803" width="10.36328125" style="179" customWidth="1"/>
    <col min="1804" max="1804" width="0.36328125" style="179" customWidth="1"/>
    <col min="1805" max="1805" width="9.90625" style="179" bestFit="1" customWidth="1"/>
    <col min="1806" max="1806" width="0.453125" style="179" customWidth="1"/>
    <col min="1807" max="1807" width="10.81640625" style="179" bestFit="1" customWidth="1"/>
    <col min="1808" max="1808" width="4.1796875" style="179" bestFit="1" customWidth="1"/>
    <col min="1809" max="1809" width="10.54296875" style="179" bestFit="1" customWidth="1"/>
    <col min="1810" max="1810" width="9.6328125" style="179" bestFit="1" customWidth="1"/>
    <col min="1811" max="1811" width="11.36328125" style="179" bestFit="1" customWidth="1"/>
    <col min="1812" max="1812" width="10.54296875" style="179" bestFit="1" customWidth="1"/>
    <col min="1813" max="2048" width="8.90625" style="179"/>
    <col min="2049" max="2049" width="7.453125" style="179" customWidth="1"/>
    <col min="2050" max="2050" width="0.453125" style="179" customWidth="1"/>
    <col min="2051" max="2051" width="10.81640625" style="179" bestFit="1" customWidth="1"/>
    <col min="2052" max="2052" width="0.453125" style="179" customWidth="1"/>
    <col min="2053" max="2053" width="9.90625" style="179" bestFit="1" customWidth="1"/>
    <col min="2054" max="2054" width="0.453125" style="179" customWidth="1"/>
    <col min="2055" max="2055" width="10.81640625" style="179" bestFit="1" customWidth="1"/>
    <col min="2056" max="2056" width="0.36328125" style="179" customWidth="1"/>
    <col min="2057" max="2057" width="9.08984375" style="179" bestFit="1" customWidth="1"/>
    <col min="2058" max="2058" width="0.453125" style="179" customWidth="1"/>
    <col min="2059" max="2059" width="10.36328125" style="179" customWidth="1"/>
    <col min="2060" max="2060" width="0.36328125" style="179" customWidth="1"/>
    <col min="2061" max="2061" width="9.90625" style="179" bestFit="1" customWidth="1"/>
    <col min="2062" max="2062" width="0.453125" style="179" customWidth="1"/>
    <col min="2063" max="2063" width="10.81640625" style="179" bestFit="1" customWidth="1"/>
    <col min="2064" max="2064" width="4.1796875" style="179" bestFit="1" customWidth="1"/>
    <col min="2065" max="2065" width="10.54296875" style="179" bestFit="1" customWidth="1"/>
    <col min="2066" max="2066" width="9.6328125" style="179" bestFit="1" customWidth="1"/>
    <col min="2067" max="2067" width="11.36328125" style="179" bestFit="1" customWidth="1"/>
    <col min="2068" max="2068" width="10.54296875" style="179" bestFit="1" customWidth="1"/>
    <col min="2069" max="2304" width="8.90625" style="179"/>
    <col min="2305" max="2305" width="7.453125" style="179" customWidth="1"/>
    <col min="2306" max="2306" width="0.453125" style="179" customWidth="1"/>
    <col min="2307" max="2307" width="10.81640625" style="179" bestFit="1" customWidth="1"/>
    <col min="2308" max="2308" width="0.453125" style="179" customWidth="1"/>
    <col min="2309" max="2309" width="9.90625" style="179" bestFit="1" customWidth="1"/>
    <col min="2310" max="2310" width="0.453125" style="179" customWidth="1"/>
    <col min="2311" max="2311" width="10.81640625" style="179" bestFit="1" customWidth="1"/>
    <col min="2312" max="2312" width="0.36328125" style="179" customWidth="1"/>
    <col min="2313" max="2313" width="9.08984375" style="179" bestFit="1" customWidth="1"/>
    <col min="2314" max="2314" width="0.453125" style="179" customWidth="1"/>
    <col min="2315" max="2315" width="10.36328125" style="179" customWidth="1"/>
    <col min="2316" max="2316" width="0.36328125" style="179" customWidth="1"/>
    <col min="2317" max="2317" width="9.90625" style="179" bestFit="1" customWidth="1"/>
    <col min="2318" max="2318" width="0.453125" style="179" customWidth="1"/>
    <col min="2319" max="2319" width="10.81640625" style="179" bestFit="1" customWidth="1"/>
    <col min="2320" max="2320" width="4.1796875" style="179" bestFit="1" customWidth="1"/>
    <col min="2321" max="2321" width="10.54296875" style="179" bestFit="1" customWidth="1"/>
    <col min="2322" max="2322" width="9.6328125" style="179" bestFit="1" customWidth="1"/>
    <col min="2323" max="2323" width="11.36328125" style="179" bestFit="1" customWidth="1"/>
    <col min="2324" max="2324" width="10.54296875" style="179" bestFit="1" customWidth="1"/>
    <col min="2325" max="2560" width="8.90625" style="179"/>
    <col min="2561" max="2561" width="7.453125" style="179" customWidth="1"/>
    <col min="2562" max="2562" width="0.453125" style="179" customWidth="1"/>
    <col min="2563" max="2563" width="10.81640625" style="179" bestFit="1" customWidth="1"/>
    <col min="2564" max="2564" width="0.453125" style="179" customWidth="1"/>
    <col min="2565" max="2565" width="9.90625" style="179" bestFit="1" customWidth="1"/>
    <col min="2566" max="2566" width="0.453125" style="179" customWidth="1"/>
    <col min="2567" max="2567" width="10.81640625" style="179" bestFit="1" customWidth="1"/>
    <col min="2568" max="2568" width="0.36328125" style="179" customWidth="1"/>
    <col min="2569" max="2569" width="9.08984375" style="179" bestFit="1" customWidth="1"/>
    <col min="2570" max="2570" width="0.453125" style="179" customWidth="1"/>
    <col min="2571" max="2571" width="10.36328125" style="179" customWidth="1"/>
    <col min="2572" max="2572" width="0.36328125" style="179" customWidth="1"/>
    <col min="2573" max="2573" width="9.90625" style="179" bestFit="1" customWidth="1"/>
    <col min="2574" max="2574" width="0.453125" style="179" customWidth="1"/>
    <col min="2575" max="2575" width="10.81640625" style="179" bestFit="1" customWidth="1"/>
    <col min="2576" max="2576" width="4.1796875" style="179" bestFit="1" customWidth="1"/>
    <col min="2577" max="2577" width="10.54296875" style="179" bestFit="1" customWidth="1"/>
    <col min="2578" max="2578" width="9.6328125" style="179" bestFit="1" customWidth="1"/>
    <col min="2579" max="2579" width="11.36328125" style="179" bestFit="1" customWidth="1"/>
    <col min="2580" max="2580" width="10.54296875" style="179" bestFit="1" customWidth="1"/>
    <col min="2581" max="2816" width="8.90625" style="179"/>
    <col min="2817" max="2817" width="7.453125" style="179" customWidth="1"/>
    <col min="2818" max="2818" width="0.453125" style="179" customWidth="1"/>
    <col min="2819" max="2819" width="10.81640625" style="179" bestFit="1" customWidth="1"/>
    <col min="2820" max="2820" width="0.453125" style="179" customWidth="1"/>
    <col min="2821" max="2821" width="9.90625" style="179" bestFit="1" customWidth="1"/>
    <col min="2822" max="2822" width="0.453125" style="179" customWidth="1"/>
    <col min="2823" max="2823" width="10.81640625" style="179" bestFit="1" customWidth="1"/>
    <col min="2824" max="2824" width="0.36328125" style="179" customWidth="1"/>
    <col min="2825" max="2825" width="9.08984375" style="179" bestFit="1" customWidth="1"/>
    <col min="2826" max="2826" width="0.453125" style="179" customWidth="1"/>
    <col min="2827" max="2827" width="10.36328125" style="179" customWidth="1"/>
    <col min="2828" max="2828" width="0.36328125" style="179" customWidth="1"/>
    <col min="2829" max="2829" width="9.90625" style="179" bestFit="1" customWidth="1"/>
    <col min="2830" max="2830" width="0.453125" style="179" customWidth="1"/>
    <col min="2831" max="2831" width="10.81640625" style="179" bestFit="1" customWidth="1"/>
    <col min="2832" max="2832" width="4.1796875" style="179" bestFit="1" customWidth="1"/>
    <col min="2833" max="2833" width="10.54296875" style="179" bestFit="1" customWidth="1"/>
    <col min="2834" max="2834" width="9.6328125" style="179" bestFit="1" customWidth="1"/>
    <col min="2835" max="2835" width="11.36328125" style="179" bestFit="1" customWidth="1"/>
    <col min="2836" max="2836" width="10.54296875" style="179" bestFit="1" customWidth="1"/>
    <col min="2837" max="3072" width="8.90625" style="179"/>
    <col min="3073" max="3073" width="7.453125" style="179" customWidth="1"/>
    <col min="3074" max="3074" width="0.453125" style="179" customWidth="1"/>
    <col min="3075" max="3075" width="10.81640625" style="179" bestFit="1" customWidth="1"/>
    <col min="3076" max="3076" width="0.453125" style="179" customWidth="1"/>
    <col min="3077" max="3077" width="9.90625" style="179" bestFit="1" customWidth="1"/>
    <col min="3078" max="3078" width="0.453125" style="179" customWidth="1"/>
    <col min="3079" max="3079" width="10.81640625" style="179" bestFit="1" customWidth="1"/>
    <col min="3080" max="3080" width="0.36328125" style="179" customWidth="1"/>
    <col min="3081" max="3081" width="9.08984375" style="179" bestFit="1" customWidth="1"/>
    <col min="3082" max="3082" width="0.453125" style="179" customWidth="1"/>
    <col min="3083" max="3083" width="10.36328125" style="179" customWidth="1"/>
    <col min="3084" max="3084" width="0.36328125" style="179" customWidth="1"/>
    <col min="3085" max="3085" width="9.90625" style="179" bestFit="1" customWidth="1"/>
    <col min="3086" max="3086" width="0.453125" style="179" customWidth="1"/>
    <col min="3087" max="3087" width="10.81640625" style="179" bestFit="1" customWidth="1"/>
    <col min="3088" max="3088" width="4.1796875" style="179" bestFit="1" customWidth="1"/>
    <col min="3089" max="3089" width="10.54296875" style="179" bestFit="1" customWidth="1"/>
    <col min="3090" max="3090" width="9.6328125" style="179" bestFit="1" customWidth="1"/>
    <col min="3091" max="3091" width="11.36328125" style="179" bestFit="1" customWidth="1"/>
    <col min="3092" max="3092" width="10.54296875" style="179" bestFit="1" customWidth="1"/>
    <col min="3093" max="3328" width="8.90625" style="179"/>
    <col min="3329" max="3329" width="7.453125" style="179" customWidth="1"/>
    <col min="3330" max="3330" width="0.453125" style="179" customWidth="1"/>
    <col min="3331" max="3331" width="10.81640625" style="179" bestFit="1" customWidth="1"/>
    <col min="3332" max="3332" width="0.453125" style="179" customWidth="1"/>
    <col min="3333" max="3333" width="9.90625" style="179" bestFit="1" customWidth="1"/>
    <col min="3334" max="3334" width="0.453125" style="179" customWidth="1"/>
    <col min="3335" max="3335" width="10.81640625" style="179" bestFit="1" customWidth="1"/>
    <col min="3336" max="3336" width="0.36328125" style="179" customWidth="1"/>
    <col min="3337" max="3337" width="9.08984375" style="179" bestFit="1" customWidth="1"/>
    <col min="3338" max="3338" width="0.453125" style="179" customWidth="1"/>
    <col min="3339" max="3339" width="10.36328125" style="179" customWidth="1"/>
    <col min="3340" max="3340" width="0.36328125" style="179" customWidth="1"/>
    <col min="3341" max="3341" width="9.90625" style="179" bestFit="1" customWidth="1"/>
    <col min="3342" max="3342" width="0.453125" style="179" customWidth="1"/>
    <col min="3343" max="3343" width="10.81640625" style="179" bestFit="1" customWidth="1"/>
    <col min="3344" max="3344" width="4.1796875" style="179" bestFit="1" customWidth="1"/>
    <col min="3345" max="3345" width="10.54296875" style="179" bestFit="1" customWidth="1"/>
    <col min="3346" max="3346" width="9.6328125" style="179" bestFit="1" customWidth="1"/>
    <col min="3347" max="3347" width="11.36328125" style="179" bestFit="1" customWidth="1"/>
    <col min="3348" max="3348" width="10.54296875" style="179" bestFit="1" customWidth="1"/>
    <col min="3349" max="3584" width="8.90625" style="179"/>
    <col min="3585" max="3585" width="7.453125" style="179" customWidth="1"/>
    <col min="3586" max="3586" width="0.453125" style="179" customWidth="1"/>
    <col min="3587" max="3587" width="10.81640625" style="179" bestFit="1" customWidth="1"/>
    <col min="3588" max="3588" width="0.453125" style="179" customWidth="1"/>
    <col min="3589" max="3589" width="9.90625" style="179" bestFit="1" customWidth="1"/>
    <col min="3590" max="3590" width="0.453125" style="179" customWidth="1"/>
    <col min="3591" max="3591" width="10.81640625" style="179" bestFit="1" customWidth="1"/>
    <col min="3592" max="3592" width="0.36328125" style="179" customWidth="1"/>
    <col min="3593" max="3593" width="9.08984375" style="179" bestFit="1" customWidth="1"/>
    <col min="3594" max="3594" width="0.453125" style="179" customWidth="1"/>
    <col min="3595" max="3595" width="10.36328125" style="179" customWidth="1"/>
    <col min="3596" max="3596" width="0.36328125" style="179" customWidth="1"/>
    <col min="3597" max="3597" width="9.90625" style="179" bestFit="1" customWidth="1"/>
    <col min="3598" max="3598" width="0.453125" style="179" customWidth="1"/>
    <col min="3599" max="3599" width="10.81640625" style="179" bestFit="1" customWidth="1"/>
    <col min="3600" max="3600" width="4.1796875" style="179" bestFit="1" customWidth="1"/>
    <col min="3601" max="3601" width="10.54296875" style="179" bestFit="1" customWidth="1"/>
    <col min="3602" max="3602" width="9.6328125" style="179" bestFit="1" customWidth="1"/>
    <col min="3603" max="3603" width="11.36328125" style="179" bestFit="1" customWidth="1"/>
    <col min="3604" max="3604" width="10.54296875" style="179" bestFit="1" customWidth="1"/>
    <col min="3605" max="3840" width="8.90625" style="179"/>
    <col min="3841" max="3841" width="7.453125" style="179" customWidth="1"/>
    <col min="3842" max="3842" width="0.453125" style="179" customWidth="1"/>
    <col min="3843" max="3843" width="10.81640625" style="179" bestFit="1" customWidth="1"/>
    <col min="3844" max="3844" width="0.453125" style="179" customWidth="1"/>
    <col min="3845" max="3845" width="9.90625" style="179" bestFit="1" customWidth="1"/>
    <col min="3846" max="3846" width="0.453125" style="179" customWidth="1"/>
    <col min="3847" max="3847" width="10.81640625" style="179" bestFit="1" customWidth="1"/>
    <col min="3848" max="3848" width="0.36328125" style="179" customWidth="1"/>
    <col min="3849" max="3849" width="9.08984375" style="179" bestFit="1" customWidth="1"/>
    <col min="3850" max="3850" width="0.453125" style="179" customWidth="1"/>
    <col min="3851" max="3851" width="10.36328125" style="179" customWidth="1"/>
    <col min="3852" max="3852" width="0.36328125" style="179" customWidth="1"/>
    <col min="3853" max="3853" width="9.90625" style="179" bestFit="1" customWidth="1"/>
    <col min="3854" max="3854" width="0.453125" style="179" customWidth="1"/>
    <col min="3855" max="3855" width="10.81640625" style="179" bestFit="1" customWidth="1"/>
    <col min="3856" max="3856" width="4.1796875" style="179" bestFit="1" customWidth="1"/>
    <col min="3857" max="3857" width="10.54296875" style="179" bestFit="1" customWidth="1"/>
    <col min="3858" max="3858" width="9.6328125" style="179" bestFit="1" customWidth="1"/>
    <col min="3859" max="3859" width="11.36328125" style="179" bestFit="1" customWidth="1"/>
    <col min="3860" max="3860" width="10.54296875" style="179" bestFit="1" customWidth="1"/>
    <col min="3861" max="4096" width="8.90625" style="179"/>
    <col min="4097" max="4097" width="7.453125" style="179" customWidth="1"/>
    <col min="4098" max="4098" width="0.453125" style="179" customWidth="1"/>
    <col min="4099" max="4099" width="10.81640625" style="179" bestFit="1" customWidth="1"/>
    <col min="4100" max="4100" width="0.453125" style="179" customWidth="1"/>
    <col min="4101" max="4101" width="9.90625" style="179" bestFit="1" customWidth="1"/>
    <col min="4102" max="4102" width="0.453125" style="179" customWidth="1"/>
    <col min="4103" max="4103" width="10.81640625" style="179" bestFit="1" customWidth="1"/>
    <col min="4104" max="4104" width="0.36328125" style="179" customWidth="1"/>
    <col min="4105" max="4105" width="9.08984375" style="179" bestFit="1" customWidth="1"/>
    <col min="4106" max="4106" width="0.453125" style="179" customWidth="1"/>
    <col min="4107" max="4107" width="10.36328125" style="179" customWidth="1"/>
    <col min="4108" max="4108" width="0.36328125" style="179" customWidth="1"/>
    <col min="4109" max="4109" width="9.90625" style="179" bestFit="1" customWidth="1"/>
    <col min="4110" max="4110" width="0.453125" style="179" customWidth="1"/>
    <col min="4111" max="4111" width="10.81640625" style="179" bestFit="1" customWidth="1"/>
    <col min="4112" max="4112" width="4.1796875" style="179" bestFit="1" customWidth="1"/>
    <col min="4113" max="4113" width="10.54296875" style="179" bestFit="1" customWidth="1"/>
    <col min="4114" max="4114" width="9.6328125" style="179" bestFit="1" customWidth="1"/>
    <col min="4115" max="4115" width="11.36328125" style="179" bestFit="1" customWidth="1"/>
    <col min="4116" max="4116" width="10.54296875" style="179" bestFit="1" customWidth="1"/>
    <col min="4117" max="4352" width="8.90625" style="179"/>
    <col min="4353" max="4353" width="7.453125" style="179" customWidth="1"/>
    <col min="4354" max="4354" width="0.453125" style="179" customWidth="1"/>
    <col min="4355" max="4355" width="10.81640625" style="179" bestFit="1" customWidth="1"/>
    <col min="4356" max="4356" width="0.453125" style="179" customWidth="1"/>
    <col min="4357" max="4357" width="9.90625" style="179" bestFit="1" customWidth="1"/>
    <col min="4358" max="4358" width="0.453125" style="179" customWidth="1"/>
    <col min="4359" max="4359" width="10.81640625" style="179" bestFit="1" customWidth="1"/>
    <col min="4360" max="4360" width="0.36328125" style="179" customWidth="1"/>
    <col min="4361" max="4361" width="9.08984375" style="179" bestFit="1" customWidth="1"/>
    <col min="4362" max="4362" width="0.453125" style="179" customWidth="1"/>
    <col min="4363" max="4363" width="10.36328125" style="179" customWidth="1"/>
    <col min="4364" max="4364" width="0.36328125" style="179" customWidth="1"/>
    <col min="4365" max="4365" width="9.90625" style="179" bestFit="1" customWidth="1"/>
    <col min="4366" max="4366" width="0.453125" style="179" customWidth="1"/>
    <col min="4367" max="4367" width="10.81640625" style="179" bestFit="1" customWidth="1"/>
    <col min="4368" max="4368" width="4.1796875" style="179" bestFit="1" customWidth="1"/>
    <col min="4369" max="4369" width="10.54296875" style="179" bestFit="1" customWidth="1"/>
    <col min="4370" max="4370" width="9.6328125" style="179" bestFit="1" customWidth="1"/>
    <col min="4371" max="4371" width="11.36328125" style="179" bestFit="1" customWidth="1"/>
    <col min="4372" max="4372" width="10.54296875" style="179" bestFit="1" customWidth="1"/>
    <col min="4373" max="4608" width="8.90625" style="179"/>
    <col min="4609" max="4609" width="7.453125" style="179" customWidth="1"/>
    <col min="4610" max="4610" width="0.453125" style="179" customWidth="1"/>
    <col min="4611" max="4611" width="10.81640625" style="179" bestFit="1" customWidth="1"/>
    <col min="4612" max="4612" width="0.453125" style="179" customWidth="1"/>
    <col min="4613" max="4613" width="9.90625" style="179" bestFit="1" customWidth="1"/>
    <col min="4614" max="4614" width="0.453125" style="179" customWidth="1"/>
    <col min="4615" max="4615" width="10.81640625" style="179" bestFit="1" customWidth="1"/>
    <col min="4616" max="4616" width="0.36328125" style="179" customWidth="1"/>
    <col min="4617" max="4617" width="9.08984375" style="179" bestFit="1" customWidth="1"/>
    <col min="4618" max="4618" width="0.453125" style="179" customWidth="1"/>
    <col min="4619" max="4619" width="10.36328125" style="179" customWidth="1"/>
    <col min="4620" max="4620" width="0.36328125" style="179" customWidth="1"/>
    <col min="4621" max="4621" width="9.90625" style="179" bestFit="1" customWidth="1"/>
    <col min="4622" max="4622" width="0.453125" style="179" customWidth="1"/>
    <col min="4623" max="4623" width="10.81640625" style="179" bestFit="1" customWidth="1"/>
    <col min="4624" max="4624" width="4.1796875" style="179" bestFit="1" customWidth="1"/>
    <col min="4625" max="4625" width="10.54296875" style="179" bestFit="1" customWidth="1"/>
    <col min="4626" max="4626" width="9.6328125" style="179" bestFit="1" customWidth="1"/>
    <col min="4627" max="4627" width="11.36328125" style="179" bestFit="1" customWidth="1"/>
    <col min="4628" max="4628" width="10.54296875" style="179" bestFit="1" customWidth="1"/>
    <col min="4629" max="4864" width="8.90625" style="179"/>
    <col min="4865" max="4865" width="7.453125" style="179" customWidth="1"/>
    <col min="4866" max="4866" width="0.453125" style="179" customWidth="1"/>
    <col min="4867" max="4867" width="10.81640625" style="179" bestFit="1" customWidth="1"/>
    <col min="4868" max="4868" width="0.453125" style="179" customWidth="1"/>
    <col min="4869" max="4869" width="9.90625" style="179" bestFit="1" customWidth="1"/>
    <col min="4870" max="4870" width="0.453125" style="179" customWidth="1"/>
    <col min="4871" max="4871" width="10.81640625" style="179" bestFit="1" customWidth="1"/>
    <col min="4872" max="4872" width="0.36328125" style="179" customWidth="1"/>
    <col min="4873" max="4873" width="9.08984375" style="179" bestFit="1" customWidth="1"/>
    <col min="4874" max="4874" width="0.453125" style="179" customWidth="1"/>
    <col min="4875" max="4875" width="10.36328125" style="179" customWidth="1"/>
    <col min="4876" max="4876" width="0.36328125" style="179" customWidth="1"/>
    <col min="4877" max="4877" width="9.90625" style="179" bestFit="1" customWidth="1"/>
    <col min="4878" max="4878" width="0.453125" style="179" customWidth="1"/>
    <col min="4879" max="4879" width="10.81640625" style="179" bestFit="1" customWidth="1"/>
    <col min="4880" max="4880" width="4.1796875" style="179" bestFit="1" customWidth="1"/>
    <col min="4881" max="4881" width="10.54296875" style="179" bestFit="1" customWidth="1"/>
    <col min="4882" max="4882" width="9.6328125" style="179" bestFit="1" customWidth="1"/>
    <col min="4883" max="4883" width="11.36328125" style="179" bestFit="1" customWidth="1"/>
    <col min="4884" max="4884" width="10.54296875" style="179" bestFit="1" customWidth="1"/>
    <col min="4885" max="5120" width="8.90625" style="179"/>
    <col min="5121" max="5121" width="7.453125" style="179" customWidth="1"/>
    <col min="5122" max="5122" width="0.453125" style="179" customWidth="1"/>
    <col min="5123" max="5123" width="10.81640625" style="179" bestFit="1" customWidth="1"/>
    <col min="5124" max="5124" width="0.453125" style="179" customWidth="1"/>
    <col min="5125" max="5125" width="9.90625" style="179" bestFit="1" customWidth="1"/>
    <col min="5126" max="5126" width="0.453125" style="179" customWidth="1"/>
    <col min="5127" max="5127" width="10.81640625" style="179" bestFit="1" customWidth="1"/>
    <col min="5128" max="5128" width="0.36328125" style="179" customWidth="1"/>
    <col min="5129" max="5129" width="9.08984375" style="179" bestFit="1" customWidth="1"/>
    <col min="5130" max="5130" width="0.453125" style="179" customWidth="1"/>
    <col min="5131" max="5131" width="10.36328125" style="179" customWidth="1"/>
    <col min="5132" max="5132" width="0.36328125" style="179" customWidth="1"/>
    <col min="5133" max="5133" width="9.90625" style="179" bestFit="1" customWidth="1"/>
    <col min="5134" max="5134" width="0.453125" style="179" customWidth="1"/>
    <col min="5135" max="5135" width="10.81640625" style="179" bestFit="1" customWidth="1"/>
    <col min="5136" max="5136" width="4.1796875" style="179" bestFit="1" customWidth="1"/>
    <col min="5137" max="5137" width="10.54296875" style="179" bestFit="1" customWidth="1"/>
    <col min="5138" max="5138" width="9.6328125" style="179" bestFit="1" customWidth="1"/>
    <col min="5139" max="5139" width="11.36328125" style="179" bestFit="1" customWidth="1"/>
    <col min="5140" max="5140" width="10.54296875" style="179" bestFit="1" customWidth="1"/>
    <col min="5141" max="5376" width="8.90625" style="179"/>
    <col min="5377" max="5377" width="7.453125" style="179" customWidth="1"/>
    <col min="5378" max="5378" width="0.453125" style="179" customWidth="1"/>
    <col min="5379" max="5379" width="10.81640625" style="179" bestFit="1" customWidth="1"/>
    <col min="5380" max="5380" width="0.453125" style="179" customWidth="1"/>
    <col min="5381" max="5381" width="9.90625" style="179" bestFit="1" customWidth="1"/>
    <col min="5382" max="5382" width="0.453125" style="179" customWidth="1"/>
    <col min="5383" max="5383" width="10.81640625" style="179" bestFit="1" customWidth="1"/>
    <col min="5384" max="5384" width="0.36328125" style="179" customWidth="1"/>
    <col min="5385" max="5385" width="9.08984375" style="179" bestFit="1" customWidth="1"/>
    <col min="5386" max="5386" width="0.453125" style="179" customWidth="1"/>
    <col min="5387" max="5387" width="10.36328125" style="179" customWidth="1"/>
    <col min="5388" max="5388" width="0.36328125" style="179" customWidth="1"/>
    <col min="5389" max="5389" width="9.90625" style="179" bestFit="1" customWidth="1"/>
    <col min="5390" max="5390" width="0.453125" style="179" customWidth="1"/>
    <col min="5391" max="5391" width="10.81640625" style="179" bestFit="1" customWidth="1"/>
    <col min="5392" max="5392" width="4.1796875" style="179" bestFit="1" customWidth="1"/>
    <col min="5393" max="5393" width="10.54296875" style="179" bestFit="1" customWidth="1"/>
    <col min="5394" max="5394" width="9.6328125" style="179" bestFit="1" customWidth="1"/>
    <col min="5395" max="5395" width="11.36328125" style="179" bestFit="1" customWidth="1"/>
    <col min="5396" max="5396" width="10.54296875" style="179" bestFit="1" customWidth="1"/>
    <col min="5397" max="5632" width="8.90625" style="179"/>
    <col min="5633" max="5633" width="7.453125" style="179" customWidth="1"/>
    <col min="5634" max="5634" width="0.453125" style="179" customWidth="1"/>
    <col min="5635" max="5635" width="10.81640625" style="179" bestFit="1" customWidth="1"/>
    <col min="5636" max="5636" width="0.453125" style="179" customWidth="1"/>
    <col min="5637" max="5637" width="9.90625" style="179" bestFit="1" customWidth="1"/>
    <col min="5638" max="5638" width="0.453125" style="179" customWidth="1"/>
    <col min="5639" max="5639" width="10.81640625" style="179" bestFit="1" customWidth="1"/>
    <col min="5640" max="5640" width="0.36328125" style="179" customWidth="1"/>
    <col min="5641" max="5641" width="9.08984375" style="179" bestFit="1" customWidth="1"/>
    <col min="5642" max="5642" width="0.453125" style="179" customWidth="1"/>
    <col min="5643" max="5643" width="10.36328125" style="179" customWidth="1"/>
    <col min="5644" max="5644" width="0.36328125" style="179" customWidth="1"/>
    <col min="5645" max="5645" width="9.90625" style="179" bestFit="1" customWidth="1"/>
    <col min="5646" max="5646" width="0.453125" style="179" customWidth="1"/>
    <col min="5647" max="5647" width="10.81640625" style="179" bestFit="1" customWidth="1"/>
    <col min="5648" max="5648" width="4.1796875" style="179" bestFit="1" customWidth="1"/>
    <col min="5649" max="5649" width="10.54296875" style="179" bestFit="1" customWidth="1"/>
    <col min="5650" max="5650" width="9.6328125" style="179" bestFit="1" customWidth="1"/>
    <col min="5651" max="5651" width="11.36328125" style="179" bestFit="1" customWidth="1"/>
    <col min="5652" max="5652" width="10.54296875" style="179" bestFit="1" customWidth="1"/>
    <col min="5653" max="5888" width="8.90625" style="179"/>
    <col min="5889" max="5889" width="7.453125" style="179" customWidth="1"/>
    <col min="5890" max="5890" width="0.453125" style="179" customWidth="1"/>
    <col min="5891" max="5891" width="10.81640625" style="179" bestFit="1" customWidth="1"/>
    <col min="5892" max="5892" width="0.453125" style="179" customWidth="1"/>
    <col min="5893" max="5893" width="9.90625" style="179" bestFit="1" customWidth="1"/>
    <col min="5894" max="5894" width="0.453125" style="179" customWidth="1"/>
    <col min="5895" max="5895" width="10.81640625" style="179" bestFit="1" customWidth="1"/>
    <col min="5896" max="5896" width="0.36328125" style="179" customWidth="1"/>
    <col min="5897" max="5897" width="9.08984375" style="179" bestFit="1" customWidth="1"/>
    <col min="5898" max="5898" width="0.453125" style="179" customWidth="1"/>
    <col min="5899" max="5899" width="10.36328125" style="179" customWidth="1"/>
    <col min="5900" max="5900" width="0.36328125" style="179" customWidth="1"/>
    <col min="5901" max="5901" width="9.90625" style="179" bestFit="1" customWidth="1"/>
    <col min="5902" max="5902" width="0.453125" style="179" customWidth="1"/>
    <col min="5903" max="5903" width="10.81640625" style="179" bestFit="1" customWidth="1"/>
    <col min="5904" max="5904" width="4.1796875" style="179" bestFit="1" customWidth="1"/>
    <col min="5905" max="5905" width="10.54296875" style="179" bestFit="1" customWidth="1"/>
    <col min="5906" max="5906" width="9.6328125" style="179" bestFit="1" customWidth="1"/>
    <col min="5907" max="5907" width="11.36328125" style="179" bestFit="1" customWidth="1"/>
    <col min="5908" max="5908" width="10.54296875" style="179" bestFit="1" customWidth="1"/>
    <col min="5909" max="6144" width="8.90625" style="179"/>
    <col min="6145" max="6145" width="7.453125" style="179" customWidth="1"/>
    <col min="6146" max="6146" width="0.453125" style="179" customWidth="1"/>
    <col min="6147" max="6147" width="10.81640625" style="179" bestFit="1" customWidth="1"/>
    <col min="6148" max="6148" width="0.453125" style="179" customWidth="1"/>
    <col min="6149" max="6149" width="9.90625" style="179" bestFit="1" customWidth="1"/>
    <col min="6150" max="6150" width="0.453125" style="179" customWidth="1"/>
    <col min="6151" max="6151" width="10.81640625" style="179" bestFit="1" customWidth="1"/>
    <col min="6152" max="6152" width="0.36328125" style="179" customWidth="1"/>
    <col min="6153" max="6153" width="9.08984375" style="179" bestFit="1" customWidth="1"/>
    <col min="6154" max="6154" width="0.453125" style="179" customWidth="1"/>
    <col min="6155" max="6155" width="10.36328125" style="179" customWidth="1"/>
    <col min="6156" max="6156" width="0.36328125" style="179" customWidth="1"/>
    <col min="6157" max="6157" width="9.90625" style="179" bestFit="1" customWidth="1"/>
    <col min="6158" max="6158" width="0.453125" style="179" customWidth="1"/>
    <col min="6159" max="6159" width="10.81640625" style="179" bestFit="1" customWidth="1"/>
    <col min="6160" max="6160" width="4.1796875" style="179" bestFit="1" customWidth="1"/>
    <col min="6161" max="6161" width="10.54296875" style="179" bestFit="1" customWidth="1"/>
    <col min="6162" max="6162" width="9.6328125" style="179" bestFit="1" customWidth="1"/>
    <col min="6163" max="6163" width="11.36328125" style="179" bestFit="1" customWidth="1"/>
    <col min="6164" max="6164" width="10.54296875" style="179" bestFit="1" customWidth="1"/>
    <col min="6165" max="6400" width="8.90625" style="179"/>
    <col min="6401" max="6401" width="7.453125" style="179" customWidth="1"/>
    <col min="6402" max="6402" width="0.453125" style="179" customWidth="1"/>
    <col min="6403" max="6403" width="10.81640625" style="179" bestFit="1" customWidth="1"/>
    <col min="6404" max="6404" width="0.453125" style="179" customWidth="1"/>
    <col min="6405" max="6405" width="9.90625" style="179" bestFit="1" customWidth="1"/>
    <col min="6406" max="6406" width="0.453125" style="179" customWidth="1"/>
    <col min="6407" max="6407" width="10.81640625" style="179" bestFit="1" customWidth="1"/>
    <col min="6408" max="6408" width="0.36328125" style="179" customWidth="1"/>
    <col min="6409" max="6409" width="9.08984375" style="179" bestFit="1" customWidth="1"/>
    <col min="6410" max="6410" width="0.453125" style="179" customWidth="1"/>
    <col min="6411" max="6411" width="10.36328125" style="179" customWidth="1"/>
    <col min="6412" max="6412" width="0.36328125" style="179" customWidth="1"/>
    <col min="6413" max="6413" width="9.90625" style="179" bestFit="1" customWidth="1"/>
    <col min="6414" max="6414" width="0.453125" style="179" customWidth="1"/>
    <col min="6415" max="6415" width="10.81640625" style="179" bestFit="1" customWidth="1"/>
    <col min="6416" max="6416" width="4.1796875" style="179" bestFit="1" customWidth="1"/>
    <col min="6417" max="6417" width="10.54296875" style="179" bestFit="1" customWidth="1"/>
    <col min="6418" max="6418" width="9.6328125" style="179" bestFit="1" customWidth="1"/>
    <col min="6419" max="6419" width="11.36328125" style="179" bestFit="1" customWidth="1"/>
    <col min="6420" max="6420" width="10.54296875" style="179" bestFit="1" customWidth="1"/>
    <col min="6421" max="6656" width="8.90625" style="179"/>
    <col min="6657" max="6657" width="7.453125" style="179" customWidth="1"/>
    <col min="6658" max="6658" width="0.453125" style="179" customWidth="1"/>
    <col min="6659" max="6659" width="10.81640625" style="179" bestFit="1" customWidth="1"/>
    <col min="6660" max="6660" width="0.453125" style="179" customWidth="1"/>
    <col min="6661" max="6661" width="9.90625" style="179" bestFit="1" customWidth="1"/>
    <col min="6662" max="6662" width="0.453125" style="179" customWidth="1"/>
    <col min="6663" max="6663" width="10.81640625" style="179" bestFit="1" customWidth="1"/>
    <col min="6664" max="6664" width="0.36328125" style="179" customWidth="1"/>
    <col min="6665" max="6665" width="9.08984375" style="179" bestFit="1" customWidth="1"/>
    <col min="6666" max="6666" width="0.453125" style="179" customWidth="1"/>
    <col min="6667" max="6667" width="10.36328125" style="179" customWidth="1"/>
    <col min="6668" max="6668" width="0.36328125" style="179" customWidth="1"/>
    <col min="6669" max="6669" width="9.90625" style="179" bestFit="1" customWidth="1"/>
    <col min="6670" max="6670" width="0.453125" style="179" customWidth="1"/>
    <col min="6671" max="6671" width="10.81640625" style="179" bestFit="1" customWidth="1"/>
    <col min="6672" max="6672" width="4.1796875" style="179" bestFit="1" customWidth="1"/>
    <col min="6673" max="6673" width="10.54296875" style="179" bestFit="1" customWidth="1"/>
    <col min="6674" max="6674" width="9.6328125" style="179" bestFit="1" customWidth="1"/>
    <col min="6675" max="6675" width="11.36328125" style="179" bestFit="1" customWidth="1"/>
    <col min="6676" max="6676" width="10.54296875" style="179" bestFit="1" customWidth="1"/>
    <col min="6677" max="6912" width="8.90625" style="179"/>
    <col min="6913" max="6913" width="7.453125" style="179" customWidth="1"/>
    <col min="6914" max="6914" width="0.453125" style="179" customWidth="1"/>
    <col min="6915" max="6915" width="10.81640625" style="179" bestFit="1" customWidth="1"/>
    <col min="6916" max="6916" width="0.453125" style="179" customWidth="1"/>
    <col min="6917" max="6917" width="9.90625" style="179" bestFit="1" customWidth="1"/>
    <col min="6918" max="6918" width="0.453125" style="179" customWidth="1"/>
    <col min="6919" max="6919" width="10.81640625" style="179" bestFit="1" customWidth="1"/>
    <col min="6920" max="6920" width="0.36328125" style="179" customWidth="1"/>
    <col min="6921" max="6921" width="9.08984375" style="179" bestFit="1" customWidth="1"/>
    <col min="6922" max="6922" width="0.453125" style="179" customWidth="1"/>
    <col min="6923" max="6923" width="10.36328125" style="179" customWidth="1"/>
    <col min="6924" max="6924" width="0.36328125" style="179" customWidth="1"/>
    <col min="6925" max="6925" width="9.90625" style="179" bestFit="1" customWidth="1"/>
    <col min="6926" max="6926" width="0.453125" style="179" customWidth="1"/>
    <col min="6927" max="6927" width="10.81640625" style="179" bestFit="1" customWidth="1"/>
    <col min="6928" max="6928" width="4.1796875" style="179" bestFit="1" customWidth="1"/>
    <col min="6929" max="6929" width="10.54296875" style="179" bestFit="1" customWidth="1"/>
    <col min="6930" max="6930" width="9.6328125" style="179" bestFit="1" customWidth="1"/>
    <col min="6931" max="6931" width="11.36328125" style="179" bestFit="1" customWidth="1"/>
    <col min="6932" max="6932" width="10.54296875" style="179" bestFit="1" customWidth="1"/>
    <col min="6933" max="7168" width="8.90625" style="179"/>
    <col min="7169" max="7169" width="7.453125" style="179" customWidth="1"/>
    <col min="7170" max="7170" width="0.453125" style="179" customWidth="1"/>
    <col min="7171" max="7171" width="10.81640625" style="179" bestFit="1" customWidth="1"/>
    <col min="7172" max="7172" width="0.453125" style="179" customWidth="1"/>
    <col min="7173" max="7173" width="9.90625" style="179" bestFit="1" customWidth="1"/>
    <col min="7174" max="7174" width="0.453125" style="179" customWidth="1"/>
    <col min="7175" max="7175" width="10.81640625" style="179" bestFit="1" customWidth="1"/>
    <col min="7176" max="7176" width="0.36328125" style="179" customWidth="1"/>
    <col min="7177" max="7177" width="9.08984375" style="179" bestFit="1" customWidth="1"/>
    <col min="7178" max="7178" width="0.453125" style="179" customWidth="1"/>
    <col min="7179" max="7179" width="10.36328125" style="179" customWidth="1"/>
    <col min="7180" max="7180" width="0.36328125" style="179" customWidth="1"/>
    <col min="7181" max="7181" width="9.90625" style="179" bestFit="1" customWidth="1"/>
    <col min="7182" max="7182" width="0.453125" style="179" customWidth="1"/>
    <col min="7183" max="7183" width="10.81640625" style="179" bestFit="1" customWidth="1"/>
    <col min="7184" max="7184" width="4.1796875" style="179" bestFit="1" customWidth="1"/>
    <col min="7185" max="7185" width="10.54296875" style="179" bestFit="1" customWidth="1"/>
    <col min="7186" max="7186" width="9.6328125" style="179" bestFit="1" customWidth="1"/>
    <col min="7187" max="7187" width="11.36328125" style="179" bestFit="1" customWidth="1"/>
    <col min="7188" max="7188" width="10.54296875" style="179" bestFit="1" customWidth="1"/>
    <col min="7189" max="7424" width="8.90625" style="179"/>
    <col min="7425" max="7425" width="7.453125" style="179" customWidth="1"/>
    <col min="7426" max="7426" width="0.453125" style="179" customWidth="1"/>
    <col min="7427" max="7427" width="10.81640625" style="179" bestFit="1" customWidth="1"/>
    <col min="7428" max="7428" width="0.453125" style="179" customWidth="1"/>
    <col min="7429" max="7429" width="9.90625" style="179" bestFit="1" customWidth="1"/>
    <col min="7430" max="7430" width="0.453125" style="179" customWidth="1"/>
    <col min="7431" max="7431" width="10.81640625" style="179" bestFit="1" customWidth="1"/>
    <col min="7432" max="7432" width="0.36328125" style="179" customWidth="1"/>
    <col min="7433" max="7433" width="9.08984375" style="179" bestFit="1" customWidth="1"/>
    <col min="7434" max="7434" width="0.453125" style="179" customWidth="1"/>
    <col min="7435" max="7435" width="10.36328125" style="179" customWidth="1"/>
    <col min="7436" max="7436" width="0.36328125" style="179" customWidth="1"/>
    <col min="7437" max="7437" width="9.90625" style="179" bestFit="1" customWidth="1"/>
    <col min="7438" max="7438" width="0.453125" style="179" customWidth="1"/>
    <col min="7439" max="7439" width="10.81640625" style="179" bestFit="1" customWidth="1"/>
    <col min="7440" max="7440" width="4.1796875" style="179" bestFit="1" customWidth="1"/>
    <col min="7441" max="7441" width="10.54296875" style="179" bestFit="1" customWidth="1"/>
    <col min="7442" max="7442" width="9.6328125" style="179" bestFit="1" customWidth="1"/>
    <col min="7443" max="7443" width="11.36328125" style="179" bestFit="1" customWidth="1"/>
    <col min="7444" max="7444" width="10.54296875" style="179" bestFit="1" customWidth="1"/>
    <col min="7445" max="7680" width="8.90625" style="179"/>
    <col min="7681" max="7681" width="7.453125" style="179" customWidth="1"/>
    <col min="7682" max="7682" width="0.453125" style="179" customWidth="1"/>
    <col min="7683" max="7683" width="10.81640625" style="179" bestFit="1" customWidth="1"/>
    <col min="7684" max="7684" width="0.453125" style="179" customWidth="1"/>
    <col min="7685" max="7685" width="9.90625" style="179" bestFit="1" customWidth="1"/>
    <col min="7686" max="7686" width="0.453125" style="179" customWidth="1"/>
    <col min="7687" max="7687" width="10.81640625" style="179" bestFit="1" customWidth="1"/>
    <col min="7688" max="7688" width="0.36328125" style="179" customWidth="1"/>
    <col min="7689" max="7689" width="9.08984375" style="179" bestFit="1" customWidth="1"/>
    <col min="7690" max="7690" width="0.453125" style="179" customWidth="1"/>
    <col min="7691" max="7691" width="10.36328125" style="179" customWidth="1"/>
    <col min="7692" max="7692" width="0.36328125" style="179" customWidth="1"/>
    <col min="7693" max="7693" width="9.90625" style="179" bestFit="1" customWidth="1"/>
    <col min="7694" max="7694" width="0.453125" style="179" customWidth="1"/>
    <col min="7695" max="7695" width="10.81640625" style="179" bestFit="1" customWidth="1"/>
    <col min="7696" max="7696" width="4.1796875" style="179" bestFit="1" customWidth="1"/>
    <col min="7697" max="7697" width="10.54296875" style="179" bestFit="1" customWidth="1"/>
    <col min="7698" max="7698" width="9.6328125" style="179" bestFit="1" customWidth="1"/>
    <col min="7699" max="7699" width="11.36328125" style="179" bestFit="1" customWidth="1"/>
    <col min="7700" max="7700" width="10.54296875" style="179" bestFit="1" customWidth="1"/>
    <col min="7701" max="7936" width="8.90625" style="179"/>
    <col min="7937" max="7937" width="7.453125" style="179" customWidth="1"/>
    <col min="7938" max="7938" width="0.453125" style="179" customWidth="1"/>
    <col min="7939" max="7939" width="10.81640625" style="179" bestFit="1" customWidth="1"/>
    <col min="7940" max="7940" width="0.453125" style="179" customWidth="1"/>
    <col min="7941" max="7941" width="9.90625" style="179" bestFit="1" customWidth="1"/>
    <col min="7942" max="7942" width="0.453125" style="179" customWidth="1"/>
    <col min="7943" max="7943" width="10.81640625" style="179" bestFit="1" customWidth="1"/>
    <col min="7944" max="7944" width="0.36328125" style="179" customWidth="1"/>
    <col min="7945" max="7945" width="9.08984375" style="179" bestFit="1" customWidth="1"/>
    <col min="7946" max="7946" width="0.453125" style="179" customWidth="1"/>
    <col min="7947" max="7947" width="10.36328125" style="179" customWidth="1"/>
    <col min="7948" max="7948" width="0.36328125" style="179" customWidth="1"/>
    <col min="7949" max="7949" width="9.90625" style="179" bestFit="1" customWidth="1"/>
    <col min="7950" max="7950" width="0.453125" style="179" customWidth="1"/>
    <col min="7951" max="7951" width="10.81640625" style="179" bestFit="1" customWidth="1"/>
    <col min="7952" max="7952" width="4.1796875" style="179" bestFit="1" customWidth="1"/>
    <col min="7953" max="7953" width="10.54296875" style="179" bestFit="1" customWidth="1"/>
    <col min="7954" max="7954" width="9.6328125" style="179" bestFit="1" customWidth="1"/>
    <col min="7955" max="7955" width="11.36328125" style="179" bestFit="1" customWidth="1"/>
    <col min="7956" max="7956" width="10.54296875" style="179" bestFit="1" customWidth="1"/>
    <col min="7957" max="8192" width="8.90625" style="179"/>
    <col min="8193" max="8193" width="7.453125" style="179" customWidth="1"/>
    <col min="8194" max="8194" width="0.453125" style="179" customWidth="1"/>
    <col min="8195" max="8195" width="10.81640625" style="179" bestFit="1" customWidth="1"/>
    <col min="8196" max="8196" width="0.453125" style="179" customWidth="1"/>
    <col min="8197" max="8197" width="9.90625" style="179" bestFit="1" customWidth="1"/>
    <col min="8198" max="8198" width="0.453125" style="179" customWidth="1"/>
    <col min="8199" max="8199" width="10.81640625" style="179" bestFit="1" customWidth="1"/>
    <col min="8200" max="8200" width="0.36328125" style="179" customWidth="1"/>
    <col min="8201" max="8201" width="9.08984375" style="179" bestFit="1" customWidth="1"/>
    <col min="8202" max="8202" width="0.453125" style="179" customWidth="1"/>
    <col min="8203" max="8203" width="10.36328125" style="179" customWidth="1"/>
    <col min="8204" max="8204" width="0.36328125" style="179" customWidth="1"/>
    <col min="8205" max="8205" width="9.90625" style="179" bestFit="1" customWidth="1"/>
    <col min="8206" max="8206" width="0.453125" style="179" customWidth="1"/>
    <col min="8207" max="8207" width="10.81640625" style="179" bestFit="1" customWidth="1"/>
    <col min="8208" max="8208" width="4.1796875" style="179" bestFit="1" customWidth="1"/>
    <col min="8209" max="8209" width="10.54296875" style="179" bestFit="1" customWidth="1"/>
    <col min="8210" max="8210" width="9.6328125" style="179" bestFit="1" customWidth="1"/>
    <col min="8211" max="8211" width="11.36328125" style="179" bestFit="1" customWidth="1"/>
    <col min="8212" max="8212" width="10.54296875" style="179" bestFit="1" customWidth="1"/>
    <col min="8213" max="8448" width="8.90625" style="179"/>
    <col min="8449" max="8449" width="7.453125" style="179" customWidth="1"/>
    <col min="8450" max="8450" width="0.453125" style="179" customWidth="1"/>
    <col min="8451" max="8451" width="10.81640625" style="179" bestFit="1" customWidth="1"/>
    <col min="8452" max="8452" width="0.453125" style="179" customWidth="1"/>
    <col min="8453" max="8453" width="9.90625" style="179" bestFit="1" customWidth="1"/>
    <col min="8454" max="8454" width="0.453125" style="179" customWidth="1"/>
    <col min="8455" max="8455" width="10.81640625" style="179" bestFit="1" customWidth="1"/>
    <col min="8456" max="8456" width="0.36328125" style="179" customWidth="1"/>
    <col min="8457" max="8457" width="9.08984375" style="179" bestFit="1" customWidth="1"/>
    <col min="8458" max="8458" width="0.453125" style="179" customWidth="1"/>
    <col min="8459" max="8459" width="10.36328125" style="179" customWidth="1"/>
    <col min="8460" max="8460" width="0.36328125" style="179" customWidth="1"/>
    <col min="8461" max="8461" width="9.90625" style="179" bestFit="1" customWidth="1"/>
    <col min="8462" max="8462" width="0.453125" style="179" customWidth="1"/>
    <col min="8463" max="8463" width="10.81640625" style="179" bestFit="1" customWidth="1"/>
    <col min="8464" max="8464" width="4.1796875" style="179" bestFit="1" customWidth="1"/>
    <col min="8465" max="8465" width="10.54296875" style="179" bestFit="1" customWidth="1"/>
    <col min="8466" max="8466" width="9.6328125" style="179" bestFit="1" customWidth="1"/>
    <col min="8467" max="8467" width="11.36328125" style="179" bestFit="1" customWidth="1"/>
    <col min="8468" max="8468" width="10.54296875" style="179" bestFit="1" customWidth="1"/>
    <col min="8469" max="8704" width="8.90625" style="179"/>
    <col min="8705" max="8705" width="7.453125" style="179" customWidth="1"/>
    <col min="8706" max="8706" width="0.453125" style="179" customWidth="1"/>
    <col min="8707" max="8707" width="10.81640625" style="179" bestFit="1" customWidth="1"/>
    <col min="8708" max="8708" width="0.453125" style="179" customWidth="1"/>
    <col min="8709" max="8709" width="9.90625" style="179" bestFit="1" customWidth="1"/>
    <col min="8710" max="8710" width="0.453125" style="179" customWidth="1"/>
    <col min="8711" max="8711" width="10.81640625" style="179" bestFit="1" customWidth="1"/>
    <col min="8712" max="8712" width="0.36328125" style="179" customWidth="1"/>
    <col min="8713" max="8713" width="9.08984375" style="179" bestFit="1" customWidth="1"/>
    <col min="8714" max="8714" width="0.453125" style="179" customWidth="1"/>
    <col min="8715" max="8715" width="10.36328125" style="179" customWidth="1"/>
    <col min="8716" max="8716" width="0.36328125" style="179" customWidth="1"/>
    <col min="8717" max="8717" width="9.90625" style="179" bestFit="1" customWidth="1"/>
    <col min="8718" max="8718" width="0.453125" style="179" customWidth="1"/>
    <col min="8719" max="8719" width="10.81640625" style="179" bestFit="1" customWidth="1"/>
    <col min="8720" max="8720" width="4.1796875" style="179" bestFit="1" customWidth="1"/>
    <col min="8721" max="8721" width="10.54296875" style="179" bestFit="1" customWidth="1"/>
    <col min="8722" max="8722" width="9.6328125" style="179" bestFit="1" customWidth="1"/>
    <col min="8723" max="8723" width="11.36328125" style="179" bestFit="1" customWidth="1"/>
    <col min="8724" max="8724" width="10.54296875" style="179" bestFit="1" customWidth="1"/>
    <col min="8725" max="8960" width="8.90625" style="179"/>
    <col min="8961" max="8961" width="7.453125" style="179" customWidth="1"/>
    <col min="8962" max="8962" width="0.453125" style="179" customWidth="1"/>
    <col min="8963" max="8963" width="10.81640625" style="179" bestFit="1" customWidth="1"/>
    <col min="8964" max="8964" width="0.453125" style="179" customWidth="1"/>
    <col min="8965" max="8965" width="9.90625" style="179" bestFit="1" customWidth="1"/>
    <col min="8966" max="8966" width="0.453125" style="179" customWidth="1"/>
    <col min="8967" max="8967" width="10.81640625" style="179" bestFit="1" customWidth="1"/>
    <col min="8968" max="8968" width="0.36328125" style="179" customWidth="1"/>
    <col min="8969" max="8969" width="9.08984375" style="179" bestFit="1" customWidth="1"/>
    <col min="8970" max="8970" width="0.453125" style="179" customWidth="1"/>
    <col min="8971" max="8971" width="10.36328125" style="179" customWidth="1"/>
    <col min="8972" max="8972" width="0.36328125" style="179" customWidth="1"/>
    <col min="8973" max="8973" width="9.90625" style="179" bestFit="1" customWidth="1"/>
    <col min="8974" max="8974" width="0.453125" style="179" customWidth="1"/>
    <col min="8975" max="8975" width="10.81640625" style="179" bestFit="1" customWidth="1"/>
    <col min="8976" max="8976" width="4.1796875" style="179" bestFit="1" customWidth="1"/>
    <col min="8977" max="8977" width="10.54296875" style="179" bestFit="1" customWidth="1"/>
    <col min="8978" max="8978" width="9.6328125" style="179" bestFit="1" customWidth="1"/>
    <col min="8979" max="8979" width="11.36328125" style="179" bestFit="1" customWidth="1"/>
    <col min="8980" max="8980" width="10.54296875" style="179" bestFit="1" customWidth="1"/>
    <col min="8981" max="9216" width="8.90625" style="179"/>
    <col min="9217" max="9217" width="7.453125" style="179" customWidth="1"/>
    <col min="9218" max="9218" width="0.453125" style="179" customWidth="1"/>
    <col min="9219" max="9219" width="10.81640625" style="179" bestFit="1" customWidth="1"/>
    <col min="9220" max="9220" width="0.453125" style="179" customWidth="1"/>
    <col min="9221" max="9221" width="9.90625" style="179" bestFit="1" customWidth="1"/>
    <col min="9222" max="9222" width="0.453125" style="179" customWidth="1"/>
    <col min="9223" max="9223" width="10.81640625" style="179" bestFit="1" customWidth="1"/>
    <col min="9224" max="9224" width="0.36328125" style="179" customWidth="1"/>
    <col min="9225" max="9225" width="9.08984375" style="179" bestFit="1" customWidth="1"/>
    <col min="9226" max="9226" width="0.453125" style="179" customWidth="1"/>
    <col min="9227" max="9227" width="10.36328125" style="179" customWidth="1"/>
    <col min="9228" max="9228" width="0.36328125" style="179" customWidth="1"/>
    <col min="9229" max="9229" width="9.90625" style="179" bestFit="1" customWidth="1"/>
    <col min="9230" max="9230" width="0.453125" style="179" customWidth="1"/>
    <col min="9231" max="9231" width="10.81640625" style="179" bestFit="1" customWidth="1"/>
    <col min="9232" max="9232" width="4.1796875" style="179" bestFit="1" customWidth="1"/>
    <col min="9233" max="9233" width="10.54296875" style="179" bestFit="1" customWidth="1"/>
    <col min="9234" max="9234" width="9.6328125" style="179" bestFit="1" customWidth="1"/>
    <col min="9235" max="9235" width="11.36328125" style="179" bestFit="1" customWidth="1"/>
    <col min="9236" max="9236" width="10.54296875" style="179" bestFit="1" customWidth="1"/>
    <col min="9237" max="9472" width="8.90625" style="179"/>
    <col min="9473" max="9473" width="7.453125" style="179" customWidth="1"/>
    <col min="9474" max="9474" width="0.453125" style="179" customWidth="1"/>
    <col min="9475" max="9475" width="10.81640625" style="179" bestFit="1" customWidth="1"/>
    <col min="9476" max="9476" width="0.453125" style="179" customWidth="1"/>
    <col min="9477" max="9477" width="9.90625" style="179" bestFit="1" customWidth="1"/>
    <col min="9478" max="9478" width="0.453125" style="179" customWidth="1"/>
    <col min="9479" max="9479" width="10.81640625" style="179" bestFit="1" customWidth="1"/>
    <col min="9480" max="9480" width="0.36328125" style="179" customWidth="1"/>
    <col min="9481" max="9481" width="9.08984375" style="179" bestFit="1" customWidth="1"/>
    <col min="9482" max="9482" width="0.453125" style="179" customWidth="1"/>
    <col min="9483" max="9483" width="10.36328125" style="179" customWidth="1"/>
    <col min="9484" max="9484" width="0.36328125" style="179" customWidth="1"/>
    <col min="9485" max="9485" width="9.90625" style="179" bestFit="1" customWidth="1"/>
    <col min="9486" max="9486" width="0.453125" style="179" customWidth="1"/>
    <col min="9487" max="9487" width="10.81640625" style="179" bestFit="1" customWidth="1"/>
    <col min="9488" max="9488" width="4.1796875" style="179" bestFit="1" customWidth="1"/>
    <col min="9489" max="9489" width="10.54296875" style="179" bestFit="1" customWidth="1"/>
    <col min="9490" max="9490" width="9.6328125" style="179" bestFit="1" customWidth="1"/>
    <col min="9491" max="9491" width="11.36328125" style="179" bestFit="1" customWidth="1"/>
    <col min="9492" max="9492" width="10.54296875" style="179" bestFit="1" customWidth="1"/>
    <col min="9493" max="9728" width="8.90625" style="179"/>
    <col min="9729" max="9729" width="7.453125" style="179" customWidth="1"/>
    <col min="9730" max="9730" width="0.453125" style="179" customWidth="1"/>
    <col min="9731" max="9731" width="10.81640625" style="179" bestFit="1" customWidth="1"/>
    <col min="9732" max="9732" width="0.453125" style="179" customWidth="1"/>
    <col min="9733" max="9733" width="9.90625" style="179" bestFit="1" customWidth="1"/>
    <col min="9734" max="9734" width="0.453125" style="179" customWidth="1"/>
    <col min="9735" max="9735" width="10.81640625" style="179" bestFit="1" customWidth="1"/>
    <col min="9736" max="9736" width="0.36328125" style="179" customWidth="1"/>
    <col min="9737" max="9737" width="9.08984375" style="179" bestFit="1" customWidth="1"/>
    <col min="9738" max="9738" width="0.453125" style="179" customWidth="1"/>
    <col min="9739" max="9739" width="10.36328125" style="179" customWidth="1"/>
    <col min="9740" max="9740" width="0.36328125" style="179" customWidth="1"/>
    <col min="9741" max="9741" width="9.90625" style="179" bestFit="1" customWidth="1"/>
    <col min="9742" max="9742" width="0.453125" style="179" customWidth="1"/>
    <col min="9743" max="9743" width="10.81640625" style="179" bestFit="1" customWidth="1"/>
    <col min="9744" max="9744" width="4.1796875" style="179" bestFit="1" customWidth="1"/>
    <col min="9745" max="9745" width="10.54296875" style="179" bestFit="1" customWidth="1"/>
    <col min="9746" max="9746" width="9.6328125" style="179" bestFit="1" customWidth="1"/>
    <col min="9747" max="9747" width="11.36328125" style="179" bestFit="1" customWidth="1"/>
    <col min="9748" max="9748" width="10.54296875" style="179" bestFit="1" customWidth="1"/>
    <col min="9749" max="9984" width="8.90625" style="179"/>
    <col min="9985" max="9985" width="7.453125" style="179" customWidth="1"/>
    <col min="9986" max="9986" width="0.453125" style="179" customWidth="1"/>
    <col min="9987" max="9987" width="10.81640625" style="179" bestFit="1" customWidth="1"/>
    <col min="9988" max="9988" width="0.453125" style="179" customWidth="1"/>
    <col min="9989" max="9989" width="9.90625" style="179" bestFit="1" customWidth="1"/>
    <col min="9990" max="9990" width="0.453125" style="179" customWidth="1"/>
    <col min="9991" max="9991" width="10.81640625" style="179" bestFit="1" customWidth="1"/>
    <col min="9992" max="9992" width="0.36328125" style="179" customWidth="1"/>
    <col min="9993" max="9993" width="9.08984375" style="179" bestFit="1" customWidth="1"/>
    <col min="9994" max="9994" width="0.453125" style="179" customWidth="1"/>
    <col min="9995" max="9995" width="10.36328125" style="179" customWidth="1"/>
    <col min="9996" max="9996" width="0.36328125" style="179" customWidth="1"/>
    <col min="9997" max="9997" width="9.90625" style="179" bestFit="1" customWidth="1"/>
    <col min="9998" max="9998" width="0.453125" style="179" customWidth="1"/>
    <col min="9999" max="9999" width="10.81640625" style="179" bestFit="1" customWidth="1"/>
    <col min="10000" max="10000" width="4.1796875" style="179" bestFit="1" customWidth="1"/>
    <col min="10001" max="10001" width="10.54296875" style="179" bestFit="1" customWidth="1"/>
    <col min="10002" max="10002" width="9.6328125" style="179" bestFit="1" customWidth="1"/>
    <col min="10003" max="10003" width="11.36328125" style="179" bestFit="1" customWidth="1"/>
    <col min="10004" max="10004" width="10.54296875" style="179" bestFit="1" customWidth="1"/>
    <col min="10005" max="10240" width="8.90625" style="179"/>
    <col min="10241" max="10241" width="7.453125" style="179" customWidth="1"/>
    <col min="10242" max="10242" width="0.453125" style="179" customWidth="1"/>
    <col min="10243" max="10243" width="10.81640625" style="179" bestFit="1" customWidth="1"/>
    <col min="10244" max="10244" width="0.453125" style="179" customWidth="1"/>
    <col min="10245" max="10245" width="9.90625" style="179" bestFit="1" customWidth="1"/>
    <col min="10246" max="10246" width="0.453125" style="179" customWidth="1"/>
    <col min="10247" max="10247" width="10.81640625" style="179" bestFit="1" customWidth="1"/>
    <col min="10248" max="10248" width="0.36328125" style="179" customWidth="1"/>
    <col min="10249" max="10249" width="9.08984375" style="179" bestFit="1" customWidth="1"/>
    <col min="10250" max="10250" width="0.453125" style="179" customWidth="1"/>
    <col min="10251" max="10251" width="10.36328125" style="179" customWidth="1"/>
    <col min="10252" max="10252" width="0.36328125" style="179" customWidth="1"/>
    <col min="10253" max="10253" width="9.90625" style="179" bestFit="1" customWidth="1"/>
    <col min="10254" max="10254" width="0.453125" style="179" customWidth="1"/>
    <col min="10255" max="10255" width="10.81640625" style="179" bestFit="1" customWidth="1"/>
    <col min="10256" max="10256" width="4.1796875" style="179" bestFit="1" customWidth="1"/>
    <col min="10257" max="10257" width="10.54296875" style="179" bestFit="1" customWidth="1"/>
    <col min="10258" max="10258" width="9.6328125" style="179" bestFit="1" customWidth="1"/>
    <col min="10259" max="10259" width="11.36328125" style="179" bestFit="1" customWidth="1"/>
    <col min="10260" max="10260" width="10.54296875" style="179" bestFit="1" customWidth="1"/>
    <col min="10261" max="10496" width="8.90625" style="179"/>
    <col min="10497" max="10497" width="7.453125" style="179" customWidth="1"/>
    <col min="10498" max="10498" width="0.453125" style="179" customWidth="1"/>
    <col min="10499" max="10499" width="10.81640625" style="179" bestFit="1" customWidth="1"/>
    <col min="10500" max="10500" width="0.453125" style="179" customWidth="1"/>
    <col min="10501" max="10501" width="9.90625" style="179" bestFit="1" customWidth="1"/>
    <col min="10502" max="10502" width="0.453125" style="179" customWidth="1"/>
    <col min="10503" max="10503" width="10.81640625" style="179" bestFit="1" customWidth="1"/>
    <col min="10504" max="10504" width="0.36328125" style="179" customWidth="1"/>
    <col min="10505" max="10505" width="9.08984375" style="179" bestFit="1" customWidth="1"/>
    <col min="10506" max="10506" width="0.453125" style="179" customWidth="1"/>
    <col min="10507" max="10507" width="10.36328125" style="179" customWidth="1"/>
    <col min="10508" max="10508" width="0.36328125" style="179" customWidth="1"/>
    <col min="10509" max="10509" width="9.90625" style="179" bestFit="1" customWidth="1"/>
    <col min="10510" max="10510" width="0.453125" style="179" customWidth="1"/>
    <col min="10511" max="10511" width="10.81640625" style="179" bestFit="1" customWidth="1"/>
    <col min="10512" max="10512" width="4.1796875" style="179" bestFit="1" customWidth="1"/>
    <col min="10513" max="10513" width="10.54296875" style="179" bestFit="1" customWidth="1"/>
    <col min="10514" max="10514" width="9.6328125" style="179" bestFit="1" customWidth="1"/>
    <col min="10515" max="10515" width="11.36328125" style="179" bestFit="1" customWidth="1"/>
    <col min="10516" max="10516" width="10.54296875" style="179" bestFit="1" customWidth="1"/>
    <col min="10517" max="10752" width="8.90625" style="179"/>
    <col min="10753" max="10753" width="7.453125" style="179" customWidth="1"/>
    <col min="10754" max="10754" width="0.453125" style="179" customWidth="1"/>
    <col min="10755" max="10755" width="10.81640625" style="179" bestFit="1" customWidth="1"/>
    <col min="10756" max="10756" width="0.453125" style="179" customWidth="1"/>
    <col min="10757" max="10757" width="9.90625" style="179" bestFit="1" customWidth="1"/>
    <col min="10758" max="10758" width="0.453125" style="179" customWidth="1"/>
    <col min="10759" max="10759" width="10.81640625" style="179" bestFit="1" customWidth="1"/>
    <col min="10760" max="10760" width="0.36328125" style="179" customWidth="1"/>
    <col min="10761" max="10761" width="9.08984375" style="179" bestFit="1" customWidth="1"/>
    <col min="10762" max="10762" width="0.453125" style="179" customWidth="1"/>
    <col min="10763" max="10763" width="10.36328125" style="179" customWidth="1"/>
    <col min="10764" max="10764" width="0.36328125" style="179" customWidth="1"/>
    <col min="10765" max="10765" width="9.90625" style="179" bestFit="1" customWidth="1"/>
    <col min="10766" max="10766" width="0.453125" style="179" customWidth="1"/>
    <col min="10767" max="10767" width="10.81640625" style="179" bestFit="1" customWidth="1"/>
    <col min="10768" max="10768" width="4.1796875" style="179" bestFit="1" customWidth="1"/>
    <col min="10769" max="10769" width="10.54296875" style="179" bestFit="1" customWidth="1"/>
    <col min="10770" max="10770" width="9.6328125" style="179" bestFit="1" customWidth="1"/>
    <col min="10771" max="10771" width="11.36328125" style="179" bestFit="1" customWidth="1"/>
    <col min="10772" max="10772" width="10.54296875" style="179" bestFit="1" customWidth="1"/>
    <col min="10773" max="11008" width="8.90625" style="179"/>
    <col min="11009" max="11009" width="7.453125" style="179" customWidth="1"/>
    <col min="11010" max="11010" width="0.453125" style="179" customWidth="1"/>
    <col min="11011" max="11011" width="10.81640625" style="179" bestFit="1" customWidth="1"/>
    <col min="11012" max="11012" width="0.453125" style="179" customWidth="1"/>
    <col min="11013" max="11013" width="9.90625" style="179" bestFit="1" customWidth="1"/>
    <col min="11014" max="11014" width="0.453125" style="179" customWidth="1"/>
    <col min="11015" max="11015" width="10.81640625" style="179" bestFit="1" customWidth="1"/>
    <col min="11016" max="11016" width="0.36328125" style="179" customWidth="1"/>
    <col min="11017" max="11017" width="9.08984375" style="179" bestFit="1" customWidth="1"/>
    <col min="11018" max="11018" width="0.453125" style="179" customWidth="1"/>
    <col min="11019" max="11019" width="10.36328125" style="179" customWidth="1"/>
    <col min="11020" max="11020" width="0.36328125" style="179" customWidth="1"/>
    <col min="11021" max="11021" width="9.90625" style="179" bestFit="1" customWidth="1"/>
    <col min="11022" max="11022" width="0.453125" style="179" customWidth="1"/>
    <col min="11023" max="11023" width="10.81640625" style="179" bestFit="1" customWidth="1"/>
    <col min="11024" max="11024" width="4.1796875" style="179" bestFit="1" customWidth="1"/>
    <col min="11025" max="11025" width="10.54296875" style="179" bestFit="1" customWidth="1"/>
    <col min="11026" max="11026" width="9.6328125" style="179" bestFit="1" customWidth="1"/>
    <col min="11027" max="11027" width="11.36328125" style="179" bestFit="1" customWidth="1"/>
    <col min="11028" max="11028" width="10.54296875" style="179" bestFit="1" customWidth="1"/>
    <col min="11029" max="11264" width="8.90625" style="179"/>
    <col min="11265" max="11265" width="7.453125" style="179" customWidth="1"/>
    <col min="11266" max="11266" width="0.453125" style="179" customWidth="1"/>
    <col min="11267" max="11267" width="10.81640625" style="179" bestFit="1" customWidth="1"/>
    <col min="11268" max="11268" width="0.453125" style="179" customWidth="1"/>
    <col min="11269" max="11269" width="9.90625" style="179" bestFit="1" customWidth="1"/>
    <col min="11270" max="11270" width="0.453125" style="179" customWidth="1"/>
    <col min="11271" max="11271" width="10.81640625" style="179" bestFit="1" customWidth="1"/>
    <col min="11272" max="11272" width="0.36328125" style="179" customWidth="1"/>
    <col min="11273" max="11273" width="9.08984375" style="179" bestFit="1" customWidth="1"/>
    <col min="11274" max="11274" width="0.453125" style="179" customWidth="1"/>
    <col min="11275" max="11275" width="10.36328125" style="179" customWidth="1"/>
    <col min="11276" max="11276" width="0.36328125" style="179" customWidth="1"/>
    <col min="11277" max="11277" width="9.90625" style="179" bestFit="1" customWidth="1"/>
    <col min="11278" max="11278" width="0.453125" style="179" customWidth="1"/>
    <col min="11279" max="11279" width="10.81640625" style="179" bestFit="1" customWidth="1"/>
    <col min="11280" max="11280" width="4.1796875" style="179" bestFit="1" customWidth="1"/>
    <col min="11281" max="11281" width="10.54296875" style="179" bestFit="1" customWidth="1"/>
    <col min="11282" max="11282" width="9.6328125" style="179" bestFit="1" customWidth="1"/>
    <col min="11283" max="11283" width="11.36328125" style="179" bestFit="1" customWidth="1"/>
    <col min="11284" max="11284" width="10.54296875" style="179" bestFit="1" customWidth="1"/>
    <col min="11285" max="11520" width="8.90625" style="179"/>
    <col min="11521" max="11521" width="7.453125" style="179" customWidth="1"/>
    <col min="11522" max="11522" width="0.453125" style="179" customWidth="1"/>
    <col min="11523" max="11523" width="10.81640625" style="179" bestFit="1" customWidth="1"/>
    <col min="11524" max="11524" width="0.453125" style="179" customWidth="1"/>
    <col min="11525" max="11525" width="9.90625" style="179" bestFit="1" customWidth="1"/>
    <col min="11526" max="11526" width="0.453125" style="179" customWidth="1"/>
    <col min="11527" max="11527" width="10.81640625" style="179" bestFit="1" customWidth="1"/>
    <col min="11528" max="11528" width="0.36328125" style="179" customWidth="1"/>
    <col min="11529" max="11529" width="9.08984375" style="179" bestFit="1" customWidth="1"/>
    <col min="11530" max="11530" width="0.453125" style="179" customWidth="1"/>
    <col min="11531" max="11531" width="10.36328125" style="179" customWidth="1"/>
    <col min="11532" max="11532" width="0.36328125" style="179" customWidth="1"/>
    <col min="11533" max="11533" width="9.90625" style="179" bestFit="1" customWidth="1"/>
    <col min="11534" max="11534" width="0.453125" style="179" customWidth="1"/>
    <col min="11535" max="11535" width="10.81640625" style="179" bestFit="1" customWidth="1"/>
    <col min="11536" max="11536" width="4.1796875" style="179" bestFit="1" customWidth="1"/>
    <col min="11537" max="11537" width="10.54296875" style="179" bestFit="1" customWidth="1"/>
    <col min="11538" max="11538" width="9.6328125" style="179" bestFit="1" customWidth="1"/>
    <col min="11539" max="11539" width="11.36328125" style="179" bestFit="1" customWidth="1"/>
    <col min="11540" max="11540" width="10.54296875" style="179" bestFit="1" customWidth="1"/>
    <col min="11541" max="11776" width="8.90625" style="179"/>
    <col min="11777" max="11777" width="7.453125" style="179" customWidth="1"/>
    <col min="11778" max="11778" width="0.453125" style="179" customWidth="1"/>
    <col min="11779" max="11779" width="10.81640625" style="179" bestFit="1" customWidth="1"/>
    <col min="11780" max="11780" width="0.453125" style="179" customWidth="1"/>
    <col min="11781" max="11781" width="9.90625" style="179" bestFit="1" customWidth="1"/>
    <col min="11782" max="11782" width="0.453125" style="179" customWidth="1"/>
    <col min="11783" max="11783" width="10.81640625" style="179" bestFit="1" customWidth="1"/>
    <col min="11784" max="11784" width="0.36328125" style="179" customWidth="1"/>
    <col min="11785" max="11785" width="9.08984375" style="179" bestFit="1" customWidth="1"/>
    <col min="11786" max="11786" width="0.453125" style="179" customWidth="1"/>
    <col min="11787" max="11787" width="10.36328125" style="179" customWidth="1"/>
    <col min="11788" max="11788" width="0.36328125" style="179" customWidth="1"/>
    <col min="11789" max="11789" width="9.90625" style="179" bestFit="1" customWidth="1"/>
    <col min="11790" max="11790" width="0.453125" style="179" customWidth="1"/>
    <col min="11791" max="11791" width="10.81640625" style="179" bestFit="1" customWidth="1"/>
    <col min="11792" max="11792" width="4.1796875" style="179" bestFit="1" customWidth="1"/>
    <col min="11793" max="11793" width="10.54296875" style="179" bestFit="1" customWidth="1"/>
    <col min="11794" max="11794" width="9.6328125" style="179" bestFit="1" customWidth="1"/>
    <col min="11795" max="11795" width="11.36328125" style="179" bestFit="1" customWidth="1"/>
    <col min="11796" max="11796" width="10.54296875" style="179" bestFit="1" customWidth="1"/>
    <col min="11797" max="12032" width="8.90625" style="179"/>
    <col min="12033" max="12033" width="7.453125" style="179" customWidth="1"/>
    <col min="12034" max="12034" width="0.453125" style="179" customWidth="1"/>
    <col min="12035" max="12035" width="10.81640625" style="179" bestFit="1" customWidth="1"/>
    <col min="12036" max="12036" width="0.453125" style="179" customWidth="1"/>
    <col min="12037" max="12037" width="9.90625" style="179" bestFit="1" customWidth="1"/>
    <col min="12038" max="12038" width="0.453125" style="179" customWidth="1"/>
    <col min="12039" max="12039" width="10.81640625" style="179" bestFit="1" customWidth="1"/>
    <col min="12040" max="12040" width="0.36328125" style="179" customWidth="1"/>
    <col min="12041" max="12041" width="9.08984375" style="179" bestFit="1" customWidth="1"/>
    <col min="12042" max="12042" width="0.453125" style="179" customWidth="1"/>
    <col min="12043" max="12043" width="10.36328125" style="179" customWidth="1"/>
    <col min="12044" max="12044" width="0.36328125" style="179" customWidth="1"/>
    <col min="12045" max="12045" width="9.90625" style="179" bestFit="1" customWidth="1"/>
    <col min="12046" max="12046" width="0.453125" style="179" customWidth="1"/>
    <col min="12047" max="12047" width="10.81640625" style="179" bestFit="1" customWidth="1"/>
    <col min="12048" max="12048" width="4.1796875" style="179" bestFit="1" customWidth="1"/>
    <col min="12049" max="12049" width="10.54296875" style="179" bestFit="1" customWidth="1"/>
    <col min="12050" max="12050" width="9.6328125" style="179" bestFit="1" customWidth="1"/>
    <col min="12051" max="12051" width="11.36328125" style="179" bestFit="1" customWidth="1"/>
    <col min="12052" max="12052" width="10.54296875" style="179" bestFit="1" customWidth="1"/>
    <col min="12053" max="12288" width="8.90625" style="179"/>
    <col min="12289" max="12289" width="7.453125" style="179" customWidth="1"/>
    <col min="12290" max="12290" width="0.453125" style="179" customWidth="1"/>
    <col min="12291" max="12291" width="10.81640625" style="179" bestFit="1" customWidth="1"/>
    <col min="12292" max="12292" width="0.453125" style="179" customWidth="1"/>
    <col min="12293" max="12293" width="9.90625" style="179" bestFit="1" customWidth="1"/>
    <col min="12294" max="12294" width="0.453125" style="179" customWidth="1"/>
    <col min="12295" max="12295" width="10.81640625" style="179" bestFit="1" customWidth="1"/>
    <col min="12296" max="12296" width="0.36328125" style="179" customWidth="1"/>
    <col min="12297" max="12297" width="9.08984375" style="179" bestFit="1" customWidth="1"/>
    <col min="12298" max="12298" width="0.453125" style="179" customWidth="1"/>
    <col min="12299" max="12299" width="10.36328125" style="179" customWidth="1"/>
    <col min="12300" max="12300" width="0.36328125" style="179" customWidth="1"/>
    <col min="12301" max="12301" width="9.90625" style="179" bestFit="1" customWidth="1"/>
    <col min="12302" max="12302" width="0.453125" style="179" customWidth="1"/>
    <col min="12303" max="12303" width="10.81640625" style="179" bestFit="1" customWidth="1"/>
    <col min="12304" max="12304" width="4.1796875" style="179" bestFit="1" customWidth="1"/>
    <col min="12305" max="12305" width="10.54296875" style="179" bestFit="1" customWidth="1"/>
    <col min="12306" max="12306" width="9.6328125" style="179" bestFit="1" customWidth="1"/>
    <col min="12307" max="12307" width="11.36328125" style="179" bestFit="1" customWidth="1"/>
    <col min="12308" max="12308" width="10.54296875" style="179" bestFit="1" customWidth="1"/>
    <col min="12309" max="12544" width="8.90625" style="179"/>
    <col min="12545" max="12545" width="7.453125" style="179" customWidth="1"/>
    <col min="12546" max="12546" width="0.453125" style="179" customWidth="1"/>
    <col min="12547" max="12547" width="10.81640625" style="179" bestFit="1" customWidth="1"/>
    <col min="12548" max="12548" width="0.453125" style="179" customWidth="1"/>
    <col min="12549" max="12549" width="9.90625" style="179" bestFit="1" customWidth="1"/>
    <col min="12550" max="12550" width="0.453125" style="179" customWidth="1"/>
    <col min="12551" max="12551" width="10.81640625" style="179" bestFit="1" customWidth="1"/>
    <col min="12552" max="12552" width="0.36328125" style="179" customWidth="1"/>
    <col min="12553" max="12553" width="9.08984375" style="179" bestFit="1" customWidth="1"/>
    <col min="12554" max="12554" width="0.453125" style="179" customWidth="1"/>
    <col min="12555" max="12555" width="10.36328125" style="179" customWidth="1"/>
    <col min="12556" max="12556" width="0.36328125" style="179" customWidth="1"/>
    <col min="12557" max="12557" width="9.90625" style="179" bestFit="1" customWidth="1"/>
    <col min="12558" max="12558" width="0.453125" style="179" customWidth="1"/>
    <col min="12559" max="12559" width="10.81640625" style="179" bestFit="1" customWidth="1"/>
    <col min="12560" max="12560" width="4.1796875" style="179" bestFit="1" customWidth="1"/>
    <col min="12561" max="12561" width="10.54296875" style="179" bestFit="1" customWidth="1"/>
    <col min="12562" max="12562" width="9.6328125" style="179" bestFit="1" customWidth="1"/>
    <col min="12563" max="12563" width="11.36328125" style="179" bestFit="1" customWidth="1"/>
    <col min="12564" max="12564" width="10.54296875" style="179" bestFit="1" customWidth="1"/>
    <col min="12565" max="12800" width="8.90625" style="179"/>
    <col min="12801" max="12801" width="7.453125" style="179" customWidth="1"/>
    <col min="12802" max="12802" width="0.453125" style="179" customWidth="1"/>
    <col min="12803" max="12803" width="10.81640625" style="179" bestFit="1" customWidth="1"/>
    <col min="12804" max="12804" width="0.453125" style="179" customWidth="1"/>
    <col min="12805" max="12805" width="9.90625" style="179" bestFit="1" customWidth="1"/>
    <col min="12806" max="12806" width="0.453125" style="179" customWidth="1"/>
    <col min="12807" max="12807" width="10.81640625" style="179" bestFit="1" customWidth="1"/>
    <col min="12808" max="12808" width="0.36328125" style="179" customWidth="1"/>
    <col min="12809" max="12809" width="9.08984375" style="179" bestFit="1" customWidth="1"/>
    <col min="12810" max="12810" width="0.453125" style="179" customWidth="1"/>
    <col min="12811" max="12811" width="10.36328125" style="179" customWidth="1"/>
    <col min="12812" max="12812" width="0.36328125" style="179" customWidth="1"/>
    <col min="12813" max="12813" width="9.90625" style="179" bestFit="1" customWidth="1"/>
    <col min="12814" max="12814" width="0.453125" style="179" customWidth="1"/>
    <col min="12815" max="12815" width="10.81640625" style="179" bestFit="1" customWidth="1"/>
    <col min="12816" max="12816" width="4.1796875" style="179" bestFit="1" customWidth="1"/>
    <col min="12817" max="12817" width="10.54296875" style="179" bestFit="1" customWidth="1"/>
    <col min="12818" max="12818" width="9.6328125" style="179" bestFit="1" customWidth="1"/>
    <col min="12819" max="12819" width="11.36328125" style="179" bestFit="1" customWidth="1"/>
    <col min="12820" max="12820" width="10.54296875" style="179" bestFit="1" customWidth="1"/>
    <col min="12821" max="13056" width="8.90625" style="179"/>
    <col min="13057" max="13057" width="7.453125" style="179" customWidth="1"/>
    <col min="13058" max="13058" width="0.453125" style="179" customWidth="1"/>
    <col min="13059" max="13059" width="10.81640625" style="179" bestFit="1" customWidth="1"/>
    <col min="13060" max="13060" width="0.453125" style="179" customWidth="1"/>
    <col min="13061" max="13061" width="9.90625" style="179" bestFit="1" customWidth="1"/>
    <col min="13062" max="13062" width="0.453125" style="179" customWidth="1"/>
    <col min="13063" max="13063" width="10.81640625" style="179" bestFit="1" customWidth="1"/>
    <col min="13064" max="13064" width="0.36328125" style="179" customWidth="1"/>
    <col min="13065" max="13065" width="9.08984375" style="179" bestFit="1" customWidth="1"/>
    <col min="13066" max="13066" width="0.453125" style="179" customWidth="1"/>
    <col min="13067" max="13067" width="10.36328125" style="179" customWidth="1"/>
    <col min="13068" max="13068" width="0.36328125" style="179" customWidth="1"/>
    <col min="13069" max="13069" width="9.90625" style="179" bestFit="1" customWidth="1"/>
    <col min="13070" max="13070" width="0.453125" style="179" customWidth="1"/>
    <col min="13071" max="13071" width="10.81640625" style="179" bestFit="1" customWidth="1"/>
    <col min="13072" max="13072" width="4.1796875" style="179" bestFit="1" customWidth="1"/>
    <col min="13073" max="13073" width="10.54296875" style="179" bestFit="1" customWidth="1"/>
    <col min="13074" max="13074" width="9.6328125" style="179" bestFit="1" customWidth="1"/>
    <col min="13075" max="13075" width="11.36328125" style="179" bestFit="1" customWidth="1"/>
    <col min="13076" max="13076" width="10.54296875" style="179" bestFit="1" customWidth="1"/>
    <col min="13077" max="13312" width="8.90625" style="179"/>
    <col min="13313" max="13313" width="7.453125" style="179" customWidth="1"/>
    <col min="13314" max="13314" width="0.453125" style="179" customWidth="1"/>
    <col min="13315" max="13315" width="10.81640625" style="179" bestFit="1" customWidth="1"/>
    <col min="13316" max="13316" width="0.453125" style="179" customWidth="1"/>
    <col min="13317" max="13317" width="9.90625" style="179" bestFit="1" customWidth="1"/>
    <col min="13318" max="13318" width="0.453125" style="179" customWidth="1"/>
    <col min="13319" max="13319" width="10.81640625" style="179" bestFit="1" customWidth="1"/>
    <col min="13320" max="13320" width="0.36328125" style="179" customWidth="1"/>
    <col min="13321" max="13321" width="9.08984375" style="179" bestFit="1" customWidth="1"/>
    <col min="13322" max="13322" width="0.453125" style="179" customWidth="1"/>
    <col min="13323" max="13323" width="10.36328125" style="179" customWidth="1"/>
    <col min="13324" max="13324" width="0.36328125" style="179" customWidth="1"/>
    <col min="13325" max="13325" width="9.90625" style="179" bestFit="1" customWidth="1"/>
    <col min="13326" max="13326" width="0.453125" style="179" customWidth="1"/>
    <col min="13327" max="13327" width="10.81640625" style="179" bestFit="1" customWidth="1"/>
    <col min="13328" max="13328" width="4.1796875" style="179" bestFit="1" customWidth="1"/>
    <col min="13329" max="13329" width="10.54296875" style="179" bestFit="1" customWidth="1"/>
    <col min="13330" max="13330" width="9.6328125" style="179" bestFit="1" customWidth="1"/>
    <col min="13331" max="13331" width="11.36328125" style="179" bestFit="1" customWidth="1"/>
    <col min="13332" max="13332" width="10.54296875" style="179" bestFit="1" customWidth="1"/>
    <col min="13333" max="13568" width="8.90625" style="179"/>
    <col min="13569" max="13569" width="7.453125" style="179" customWidth="1"/>
    <col min="13570" max="13570" width="0.453125" style="179" customWidth="1"/>
    <col min="13571" max="13571" width="10.81640625" style="179" bestFit="1" customWidth="1"/>
    <col min="13572" max="13572" width="0.453125" style="179" customWidth="1"/>
    <col min="13573" max="13573" width="9.90625" style="179" bestFit="1" customWidth="1"/>
    <col min="13574" max="13574" width="0.453125" style="179" customWidth="1"/>
    <col min="13575" max="13575" width="10.81640625" style="179" bestFit="1" customWidth="1"/>
    <col min="13576" max="13576" width="0.36328125" style="179" customWidth="1"/>
    <col min="13577" max="13577" width="9.08984375" style="179" bestFit="1" customWidth="1"/>
    <col min="13578" max="13578" width="0.453125" style="179" customWidth="1"/>
    <col min="13579" max="13579" width="10.36328125" style="179" customWidth="1"/>
    <col min="13580" max="13580" width="0.36328125" style="179" customWidth="1"/>
    <col min="13581" max="13581" width="9.90625" style="179" bestFit="1" customWidth="1"/>
    <col min="13582" max="13582" width="0.453125" style="179" customWidth="1"/>
    <col min="13583" max="13583" width="10.81640625" style="179" bestFit="1" customWidth="1"/>
    <col min="13584" max="13584" width="4.1796875" style="179" bestFit="1" customWidth="1"/>
    <col min="13585" max="13585" width="10.54296875" style="179" bestFit="1" customWidth="1"/>
    <col min="13586" max="13586" width="9.6328125" style="179" bestFit="1" customWidth="1"/>
    <col min="13587" max="13587" width="11.36328125" style="179" bestFit="1" customWidth="1"/>
    <col min="13588" max="13588" width="10.54296875" style="179" bestFit="1" customWidth="1"/>
    <col min="13589" max="13824" width="8.90625" style="179"/>
    <col min="13825" max="13825" width="7.453125" style="179" customWidth="1"/>
    <col min="13826" max="13826" width="0.453125" style="179" customWidth="1"/>
    <col min="13827" max="13827" width="10.81640625" style="179" bestFit="1" customWidth="1"/>
    <col min="13828" max="13828" width="0.453125" style="179" customWidth="1"/>
    <col min="13829" max="13829" width="9.90625" style="179" bestFit="1" customWidth="1"/>
    <col min="13830" max="13830" width="0.453125" style="179" customWidth="1"/>
    <col min="13831" max="13831" width="10.81640625" style="179" bestFit="1" customWidth="1"/>
    <col min="13832" max="13832" width="0.36328125" style="179" customWidth="1"/>
    <col min="13833" max="13833" width="9.08984375" style="179" bestFit="1" customWidth="1"/>
    <col min="13834" max="13834" width="0.453125" style="179" customWidth="1"/>
    <col min="13835" max="13835" width="10.36328125" style="179" customWidth="1"/>
    <col min="13836" max="13836" width="0.36328125" style="179" customWidth="1"/>
    <col min="13837" max="13837" width="9.90625" style="179" bestFit="1" customWidth="1"/>
    <col min="13838" max="13838" width="0.453125" style="179" customWidth="1"/>
    <col min="13839" max="13839" width="10.81640625" style="179" bestFit="1" customWidth="1"/>
    <col min="13840" max="13840" width="4.1796875" style="179" bestFit="1" customWidth="1"/>
    <col min="13841" max="13841" width="10.54296875" style="179" bestFit="1" customWidth="1"/>
    <col min="13842" max="13842" width="9.6328125" style="179" bestFit="1" customWidth="1"/>
    <col min="13843" max="13843" width="11.36328125" style="179" bestFit="1" customWidth="1"/>
    <col min="13844" max="13844" width="10.54296875" style="179" bestFit="1" customWidth="1"/>
    <col min="13845" max="14080" width="8.90625" style="179"/>
    <col min="14081" max="14081" width="7.453125" style="179" customWidth="1"/>
    <col min="14082" max="14082" width="0.453125" style="179" customWidth="1"/>
    <col min="14083" max="14083" width="10.81640625" style="179" bestFit="1" customWidth="1"/>
    <col min="14084" max="14084" width="0.453125" style="179" customWidth="1"/>
    <col min="14085" max="14085" width="9.90625" style="179" bestFit="1" customWidth="1"/>
    <col min="14086" max="14086" width="0.453125" style="179" customWidth="1"/>
    <col min="14087" max="14087" width="10.81640625" style="179" bestFit="1" customWidth="1"/>
    <col min="14088" max="14088" width="0.36328125" style="179" customWidth="1"/>
    <col min="14089" max="14089" width="9.08984375" style="179" bestFit="1" customWidth="1"/>
    <col min="14090" max="14090" width="0.453125" style="179" customWidth="1"/>
    <col min="14091" max="14091" width="10.36328125" style="179" customWidth="1"/>
    <col min="14092" max="14092" width="0.36328125" style="179" customWidth="1"/>
    <col min="14093" max="14093" width="9.90625" style="179" bestFit="1" customWidth="1"/>
    <col min="14094" max="14094" width="0.453125" style="179" customWidth="1"/>
    <col min="14095" max="14095" width="10.81640625" style="179" bestFit="1" customWidth="1"/>
    <col min="14096" max="14096" width="4.1796875" style="179" bestFit="1" customWidth="1"/>
    <col min="14097" max="14097" width="10.54296875" style="179" bestFit="1" customWidth="1"/>
    <col min="14098" max="14098" width="9.6328125" style="179" bestFit="1" customWidth="1"/>
    <col min="14099" max="14099" width="11.36328125" style="179" bestFit="1" customWidth="1"/>
    <col min="14100" max="14100" width="10.54296875" style="179" bestFit="1" customWidth="1"/>
    <col min="14101" max="14336" width="8.90625" style="179"/>
    <col min="14337" max="14337" width="7.453125" style="179" customWidth="1"/>
    <col min="14338" max="14338" width="0.453125" style="179" customWidth="1"/>
    <col min="14339" max="14339" width="10.81640625" style="179" bestFit="1" customWidth="1"/>
    <col min="14340" max="14340" width="0.453125" style="179" customWidth="1"/>
    <col min="14341" max="14341" width="9.90625" style="179" bestFit="1" customWidth="1"/>
    <col min="14342" max="14342" width="0.453125" style="179" customWidth="1"/>
    <col min="14343" max="14343" width="10.81640625" style="179" bestFit="1" customWidth="1"/>
    <col min="14344" max="14344" width="0.36328125" style="179" customWidth="1"/>
    <col min="14345" max="14345" width="9.08984375" style="179" bestFit="1" customWidth="1"/>
    <col min="14346" max="14346" width="0.453125" style="179" customWidth="1"/>
    <col min="14347" max="14347" width="10.36328125" style="179" customWidth="1"/>
    <col min="14348" max="14348" width="0.36328125" style="179" customWidth="1"/>
    <col min="14349" max="14349" width="9.90625" style="179" bestFit="1" customWidth="1"/>
    <col min="14350" max="14350" width="0.453125" style="179" customWidth="1"/>
    <col min="14351" max="14351" width="10.81640625" style="179" bestFit="1" customWidth="1"/>
    <col min="14352" max="14352" width="4.1796875" style="179" bestFit="1" customWidth="1"/>
    <col min="14353" max="14353" width="10.54296875" style="179" bestFit="1" customWidth="1"/>
    <col min="14354" max="14354" width="9.6328125" style="179" bestFit="1" customWidth="1"/>
    <col min="14355" max="14355" width="11.36328125" style="179" bestFit="1" customWidth="1"/>
    <col min="14356" max="14356" width="10.54296875" style="179" bestFit="1" customWidth="1"/>
    <col min="14357" max="14592" width="8.90625" style="179"/>
    <col min="14593" max="14593" width="7.453125" style="179" customWidth="1"/>
    <col min="14594" max="14594" width="0.453125" style="179" customWidth="1"/>
    <col min="14595" max="14595" width="10.81640625" style="179" bestFit="1" customWidth="1"/>
    <col min="14596" max="14596" width="0.453125" style="179" customWidth="1"/>
    <col min="14597" max="14597" width="9.90625" style="179" bestFit="1" customWidth="1"/>
    <col min="14598" max="14598" width="0.453125" style="179" customWidth="1"/>
    <col min="14599" max="14599" width="10.81640625" style="179" bestFit="1" customWidth="1"/>
    <col min="14600" max="14600" width="0.36328125" style="179" customWidth="1"/>
    <col min="14601" max="14601" width="9.08984375" style="179" bestFit="1" customWidth="1"/>
    <col min="14602" max="14602" width="0.453125" style="179" customWidth="1"/>
    <col min="14603" max="14603" width="10.36328125" style="179" customWidth="1"/>
    <col min="14604" max="14604" width="0.36328125" style="179" customWidth="1"/>
    <col min="14605" max="14605" width="9.90625" style="179" bestFit="1" customWidth="1"/>
    <col min="14606" max="14606" width="0.453125" style="179" customWidth="1"/>
    <col min="14607" max="14607" width="10.81640625" style="179" bestFit="1" customWidth="1"/>
    <col min="14608" max="14608" width="4.1796875" style="179" bestFit="1" customWidth="1"/>
    <col min="14609" max="14609" width="10.54296875" style="179" bestFit="1" customWidth="1"/>
    <col min="14610" max="14610" width="9.6328125" style="179" bestFit="1" customWidth="1"/>
    <col min="14611" max="14611" width="11.36328125" style="179" bestFit="1" customWidth="1"/>
    <col min="14612" max="14612" width="10.54296875" style="179" bestFit="1" customWidth="1"/>
    <col min="14613" max="14848" width="8.90625" style="179"/>
    <col min="14849" max="14849" width="7.453125" style="179" customWidth="1"/>
    <col min="14850" max="14850" width="0.453125" style="179" customWidth="1"/>
    <col min="14851" max="14851" width="10.81640625" style="179" bestFit="1" customWidth="1"/>
    <col min="14852" max="14852" width="0.453125" style="179" customWidth="1"/>
    <col min="14853" max="14853" width="9.90625" style="179" bestFit="1" customWidth="1"/>
    <col min="14854" max="14854" width="0.453125" style="179" customWidth="1"/>
    <col min="14855" max="14855" width="10.81640625" style="179" bestFit="1" customWidth="1"/>
    <col min="14856" max="14856" width="0.36328125" style="179" customWidth="1"/>
    <col min="14857" max="14857" width="9.08984375" style="179" bestFit="1" customWidth="1"/>
    <col min="14858" max="14858" width="0.453125" style="179" customWidth="1"/>
    <col min="14859" max="14859" width="10.36328125" style="179" customWidth="1"/>
    <col min="14860" max="14860" width="0.36328125" style="179" customWidth="1"/>
    <col min="14861" max="14861" width="9.90625" style="179" bestFit="1" customWidth="1"/>
    <col min="14862" max="14862" width="0.453125" style="179" customWidth="1"/>
    <col min="14863" max="14863" width="10.81640625" style="179" bestFit="1" customWidth="1"/>
    <col min="14864" max="14864" width="4.1796875" style="179" bestFit="1" customWidth="1"/>
    <col min="14865" max="14865" width="10.54296875" style="179" bestFit="1" customWidth="1"/>
    <col min="14866" max="14866" width="9.6328125" style="179" bestFit="1" customWidth="1"/>
    <col min="14867" max="14867" width="11.36328125" style="179" bestFit="1" customWidth="1"/>
    <col min="14868" max="14868" width="10.54296875" style="179" bestFit="1" customWidth="1"/>
    <col min="14869" max="15104" width="8.90625" style="179"/>
    <col min="15105" max="15105" width="7.453125" style="179" customWidth="1"/>
    <col min="15106" max="15106" width="0.453125" style="179" customWidth="1"/>
    <col min="15107" max="15107" width="10.81640625" style="179" bestFit="1" customWidth="1"/>
    <col min="15108" max="15108" width="0.453125" style="179" customWidth="1"/>
    <col min="15109" max="15109" width="9.90625" style="179" bestFit="1" customWidth="1"/>
    <col min="15110" max="15110" width="0.453125" style="179" customWidth="1"/>
    <col min="15111" max="15111" width="10.81640625" style="179" bestFit="1" customWidth="1"/>
    <col min="15112" max="15112" width="0.36328125" style="179" customWidth="1"/>
    <col min="15113" max="15113" width="9.08984375" style="179" bestFit="1" customWidth="1"/>
    <col min="15114" max="15114" width="0.453125" style="179" customWidth="1"/>
    <col min="15115" max="15115" width="10.36328125" style="179" customWidth="1"/>
    <col min="15116" max="15116" width="0.36328125" style="179" customWidth="1"/>
    <col min="15117" max="15117" width="9.90625" style="179" bestFit="1" customWidth="1"/>
    <col min="15118" max="15118" width="0.453125" style="179" customWidth="1"/>
    <col min="15119" max="15119" width="10.81640625" style="179" bestFit="1" customWidth="1"/>
    <col min="15120" max="15120" width="4.1796875" style="179" bestFit="1" customWidth="1"/>
    <col min="15121" max="15121" width="10.54296875" style="179" bestFit="1" customWidth="1"/>
    <col min="15122" max="15122" width="9.6328125" style="179" bestFit="1" customWidth="1"/>
    <col min="15123" max="15123" width="11.36328125" style="179" bestFit="1" customWidth="1"/>
    <col min="15124" max="15124" width="10.54296875" style="179" bestFit="1" customWidth="1"/>
    <col min="15125" max="15360" width="8.90625" style="179"/>
    <col min="15361" max="15361" width="7.453125" style="179" customWidth="1"/>
    <col min="15362" max="15362" width="0.453125" style="179" customWidth="1"/>
    <col min="15363" max="15363" width="10.81640625" style="179" bestFit="1" customWidth="1"/>
    <col min="15364" max="15364" width="0.453125" style="179" customWidth="1"/>
    <col min="15365" max="15365" width="9.90625" style="179" bestFit="1" customWidth="1"/>
    <col min="15366" max="15366" width="0.453125" style="179" customWidth="1"/>
    <col min="15367" max="15367" width="10.81640625" style="179" bestFit="1" customWidth="1"/>
    <col min="15368" max="15368" width="0.36328125" style="179" customWidth="1"/>
    <col min="15369" max="15369" width="9.08984375" style="179" bestFit="1" customWidth="1"/>
    <col min="15370" max="15370" width="0.453125" style="179" customWidth="1"/>
    <col min="15371" max="15371" width="10.36328125" style="179" customWidth="1"/>
    <col min="15372" max="15372" width="0.36328125" style="179" customWidth="1"/>
    <col min="15373" max="15373" width="9.90625" style="179" bestFit="1" customWidth="1"/>
    <col min="15374" max="15374" width="0.453125" style="179" customWidth="1"/>
    <col min="15375" max="15375" width="10.81640625" style="179" bestFit="1" customWidth="1"/>
    <col min="15376" max="15376" width="4.1796875" style="179" bestFit="1" customWidth="1"/>
    <col min="15377" max="15377" width="10.54296875" style="179" bestFit="1" customWidth="1"/>
    <col min="15378" max="15378" width="9.6328125" style="179" bestFit="1" customWidth="1"/>
    <col min="15379" max="15379" width="11.36328125" style="179" bestFit="1" customWidth="1"/>
    <col min="15380" max="15380" width="10.54296875" style="179" bestFit="1" customWidth="1"/>
    <col min="15381" max="15616" width="8.90625" style="179"/>
    <col min="15617" max="15617" width="7.453125" style="179" customWidth="1"/>
    <col min="15618" max="15618" width="0.453125" style="179" customWidth="1"/>
    <col min="15619" max="15619" width="10.81640625" style="179" bestFit="1" customWidth="1"/>
    <col min="15620" max="15620" width="0.453125" style="179" customWidth="1"/>
    <col min="15621" max="15621" width="9.90625" style="179" bestFit="1" customWidth="1"/>
    <col min="15622" max="15622" width="0.453125" style="179" customWidth="1"/>
    <col min="15623" max="15623" width="10.81640625" style="179" bestFit="1" customWidth="1"/>
    <col min="15624" max="15624" width="0.36328125" style="179" customWidth="1"/>
    <col min="15625" max="15625" width="9.08984375" style="179" bestFit="1" customWidth="1"/>
    <col min="15626" max="15626" width="0.453125" style="179" customWidth="1"/>
    <col min="15627" max="15627" width="10.36328125" style="179" customWidth="1"/>
    <col min="15628" max="15628" width="0.36328125" style="179" customWidth="1"/>
    <col min="15629" max="15629" width="9.90625" style="179" bestFit="1" customWidth="1"/>
    <col min="15630" max="15630" width="0.453125" style="179" customWidth="1"/>
    <col min="15631" max="15631" width="10.81640625" style="179" bestFit="1" customWidth="1"/>
    <col min="15632" max="15632" width="4.1796875" style="179" bestFit="1" customWidth="1"/>
    <col min="15633" max="15633" width="10.54296875" style="179" bestFit="1" customWidth="1"/>
    <col min="15634" max="15634" width="9.6328125" style="179" bestFit="1" customWidth="1"/>
    <col min="15635" max="15635" width="11.36328125" style="179" bestFit="1" customWidth="1"/>
    <col min="15636" max="15636" width="10.54296875" style="179" bestFit="1" customWidth="1"/>
    <col min="15637" max="15872" width="8.90625" style="179"/>
    <col min="15873" max="15873" width="7.453125" style="179" customWidth="1"/>
    <col min="15874" max="15874" width="0.453125" style="179" customWidth="1"/>
    <col min="15875" max="15875" width="10.81640625" style="179" bestFit="1" customWidth="1"/>
    <col min="15876" max="15876" width="0.453125" style="179" customWidth="1"/>
    <col min="15877" max="15877" width="9.90625" style="179" bestFit="1" customWidth="1"/>
    <col min="15878" max="15878" width="0.453125" style="179" customWidth="1"/>
    <col min="15879" max="15879" width="10.81640625" style="179" bestFit="1" customWidth="1"/>
    <col min="15880" max="15880" width="0.36328125" style="179" customWidth="1"/>
    <col min="15881" max="15881" width="9.08984375" style="179" bestFit="1" customWidth="1"/>
    <col min="15882" max="15882" width="0.453125" style="179" customWidth="1"/>
    <col min="15883" max="15883" width="10.36328125" style="179" customWidth="1"/>
    <col min="15884" max="15884" width="0.36328125" style="179" customWidth="1"/>
    <col min="15885" max="15885" width="9.90625" style="179" bestFit="1" customWidth="1"/>
    <col min="15886" max="15886" width="0.453125" style="179" customWidth="1"/>
    <col min="15887" max="15887" width="10.81640625" style="179" bestFit="1" customWidth="1"/>
    <col min="15888" max="15888" width="4.1796875" style="179" bestFit="1" customWidth="1"/>
    <col min="15889" max="15889" width="10.54296875" style="179" bestFit="1" customWidth="1"/>
    <col min="15890" max="15890" width="9.6328125" style="179" bestFit="1" customWidth="1"/>
    <col min="15891" max="15891" width="11.36328125" style="179" bestFit="1" customWidth="1"/>
    <col min="15892" max="15892" width="10.54296875" style="179" bestFit="1" customWidth="1"/>
    <col min="15893" max="16128" width="8.90625" style="179"/>
    <col min="16129" max="16129" width="7.453125" style="179" customWidth="1"/>
    <col min="16130" max="16130" width="0.453125" style="179" customWidth="1"/>
    <col min="16131" max="16131" width="10.81640625" style="179" bestFit="1" customWidth="1"/>
    <col min="16132" max="16132" width="0.453125" style="179" customWidth="1"/>
    <col min="16133" max="16133" width="9.90625" style="179" bestFit="1" customWidth="1"/>
    <col min="16134" max="16134" width="0.453125" style="179" customWidth="1"/>
    <col min="16135" max="16135" width="10.81640625" style="179" bestFit="1" customWidth="1"/>
    <col min="16136" max="16136" width="0.36328125" style="179" customWidth="1"/>
    <col min="16137" max="16137" width="9.08984375" style="179" bestFit="1" customWidth="1"/>
    <col min="16138" max="16138" width="0.453125" style="179" customWidth="1"/>
    <col min="16139" max="16139" width="10.36328125" style="179" customWidth="1"/>
    <col min="16140" max="16140" width="0.36328125" style="179" customWidth="1"/>
    <col min="16141" max="16141" width="9.90625" style="179" bestFit="1" customWidth="1"/>
    <col min="16142" max="16142" width="0.453125" style="179" customWidth="1"/>
    <col min="16143" max="16143" width="10.81640625" style="179" bestFit="1" customWidth="1"/>
    <col min="16144" max="16144" width="4.1796875" style="179" bestFit="1" customWidth="1"/>
    <col min="16145" max="16145" width="10.54296875" style="179" bestFit="1" customWidth="1"/>
    <col min="16146" max="16146" width="9.6328125" style="179" bestFit="1" customWidth="1"/>
    <col min="16147" max="16147" width="11.36328125" style="179" bestFit="1" customWidth="1"/>
    <col min="16148" max="16148" width="10.54296875" style="179" bestFit="1" customWidth="1"/>
    <col min="16149" max="16384" width="8.90625" style="179"/>
  </cols>
  <sheetData>
    <row r="1" spans="1:23" x14ac:dyDescent="0.3">
      <c r="B1" s="180"/>
      <c r="L1" s="183" t="s">
        <v>104</v>
      </c>
      <c r="N1" s="184">
        <v>42567</v>
      </c>
      <c r="P1" s="185"/>
      <c r="R1" s="185"/>
    </row>
    <row r="2" spans="1:23" x14ac:dyDescent="0.3">
      <c r="B2" s="187" t="s">
        <v>105</v>
      </c>
      <c r="L2" s="187" t="s">
        <v>106</v>
      </c>
      <c r="N2" s="188">
        <v>32</v>
      </c>
      <c r="P2" s="189"/>
      <c r="R2" s="185"/>
    </row>
    <row r="3" spans="1:23" x14ac:dyDescent="0.3">
      <c r="B3" s="187" t="s">
        <v>107</v>
      </c>
      <c r="L3" s="187" t="s">
        <v>108</v>
      </c>
      <c r="N3" s="190">
        <v>11815000</v>
      </c>
      <c r="P3" s="185"/>
      <c r="R3" s="185"/>
    </row>
    <row r="4" spans="1:23" x14ac:dyDescent="0.3">
      <c r="B4" s="187"/>
      <c r="L4" s="187" t="s">
        <v>8</v>
      </c>
      <c r="N4" s="191">
        <v>0.02</v>
      </c>
      <c r="P4" s="185"/>
      <c r="R4" s="185"/>
      <c r="W4" s="308"/>
    </row>
    <row r="5" spans="1:23" x14ac:dyDescent="0.3">
      <c r="B5" s="181"/>
      <c r="D5" s="181"/>
      <c r="L5" s="183" t="s">
        <v>109</v>
      </c>
      <c r="N5" s="190">
        <v>0</v>
      </c>
      <c r="R5" s="185"/>
    </row>
    <row r="6" spans="1:23" x14ac:dyDescent="0.3">
      <c r="B6" s="181"/>
      <c r="D6" s="181"/>
      <c r="J6" s="192">
        <v>7.5000000000000002E-4</v>
      </c>
      <c r="L6" s="193">
        <v>7.4999999999999997E-3</v>
      </c>
    </row>
    <row r="7" spans="1:23" x14ac:dyDescent="0.3">
      <c r="B7" s="181"/>
      <c r="D7" s="181"/>
      <c r="J7" s="194" t="s">
        <v>110</v>
      </c>
      <c r="L7" s="194" t="s">
        <v>111</v>
      </c>
    </row>
    <row r="8" spans="1:23" x14ac:dyDescent="0.3">
      <c r="B8" s="195" t="s">
        <v>112</v>
      </c>
      <c r="C8" s="194"/>
      <c r="D8" s="195" t="s">
        <v>113</v>
      </c>
      <c r="E8" s="194"/>
      <c r="F8" s="194" t="s">
        <v>3</v>
      </c>
      <c r="G8" s="194"/>
      <c r="H8" s="194" t="s">
        <v>6</v>
      </c>
      <c r="I8" s="194"/>
      <c r="J8" s="194" t="s">
        <v>114</v>
      </c>
      <c r="K8" s="194"/>
      <c r="L8" s="194" t="s">
        <v>114</v>
      </c>
      <c r="M8" s="194"/>
      <c r="N8" s="194" t="s">
        <v>115</v>
      </c>
      <c r="O8" s="194"/>
      <c r="P8" s="194" t="s">
        <v>116</v>
      </c>
      <c r="Q8" s="195" t="s">
        <v>23</v>
      </c>
      <c r="R8" s="410" t="s">
        <v>117</v>
      </c>
      <c r="S8" s="411"/>
      <c r="T8" s="411"/>
      <c r="U8" s="412"/>
    </row>
    <row r="9" spans="1:23" s="196" customFormat="1" x14ac:dyDescent="0.3">
      <c r="B9" s="197"/>
      <c r="C9" s="181"/>
      <c r="D9" s="198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200"/>
      <c r="P9" s="199"/>
      <c r="Q9" s="201"/>
      <c r="R9" s="181"/>
      <c r="S9" s="181"/>
      <c r="T9" s="181"/>
      <c r="U9" s="181"/>
    </row>
    <row r="10" spans="1:23" x14ac:dyDescent="0.3">
      <c r="A10" s="179">
        <v>1</v>
      </c>
      <c r="B10" s="202">
        <f>IF($N$2&gt;=A10,IF(OR(AND(MONTH($N$1)&gt;1,MONTH($N$1)&lt;7),AND(MONTH($N$1)=7,DAY($N$1)&lt;=15),AND(MONTH($N$1)=1,DAY($N$1)&gt;15)),DATE(YEAR($N$1)+1,1,15),IF(OR(AND(MONTH($N$1)&gt;7,MONTH($N$1)&lt;=12),AND(MONTH($N$1)=7,DAY($N$1)&gt;15)),DATE(YEAR($N$1)+1,7,15),DATE(YEAR($N$1),7,15))),"")</f>
        <v>42931</v>
      </c>
      <c r="C10" s="203"/>
      <c r="D10" s="204"/>
      <c r="E10" s="204"/>
      <c r="F10" s="204">
        <f>IF(A10&lt;=$N$2,$N$4*(180/360)*(SUM(D10:$D$89)),"")</f>
        <v>118149.99999999994</v>
      </c>
      <c r="G10" s="204"/>
      <c r="H10" s="204">
        <f>IF(A10&lt;=$N$2,D10+F10,"")</f>
        <v>118149.99999999994</v>
      </c>
      <c r="I10" s="204"/>
      <c r="J10" s="204">
        <f>IF(A10&lt;=$N$2,($N$3-(SUM($D$9:D9)))*$J$6,"")</f>
        <v>8861.25</v>
      </c>
      <c r="K10" s="204"/>
      <c r="L10" s="204">
        <f>IF(A10&lt;=$N$2,N3*L6,"")</f>
        <v>88612.5</v>
      </c>
      <c r="M10" s="204"/>
      <c r="N10" s="204">
        <f>IF(A10&lt;=$N$2,H10+J10+L10,"")</f>
        <v>215623.74999999994</v>
      </c>
      <c r="O10" s="205"/>
      <c r="P10" s="203"/>
      <c r="Q10" s="206">
        <f>IF(A10&lt;=$N$2,IF(MONTH(B10)&lt;7,YEAR(B10),YEAR(B10)+1),"")</f>
        <v>2018</v>
      </c>
      <c r="R10" s="207">
        <f>U10-S10</f>
        <v>267144.325664801</v>
      </c>
      <c r="S10" s="207">
        <f>T10*$N$4</f>
        <v>236300</v>
      </c>
      <c r="T10" s="207">
        <f>N3-N5</f>
        <v>11815000</v>
      </c>
      <c r="U10" s="207">
        <f>PMT(N4,N2,-(N3-N5))</f>
        <v>503444.325664801</v>
      </c>
    </row>
    <row r="11" spans="1:23" x14ac:dyDescent="0.3">
      <c r="A11" s="179">
        <v>1</v>
      </c>
      <c r="B11" s="202">
        <f>IF($N$2&gt;=A11,IF(MONTH(B10)=1,DATE(YEAR(B10),7,15),DATE(YEAR(B10)+1,1,15)),"")</f>
        <v>43115</v>
      </c>
      <c r="C11" s="203"/>
      <c r="D11" s="204">
        <f>IF(A11&lt;=$N$2,R10,"")</f>
        <v>267144.325664801</v>
      </c>
      <c r="E11" s="204"/>
      <c r="F11" s="204">
        <f>IF(A11&lt;=$N$2,$N$4*(180/360)*(SUM(D11:$D$89)),"")</f>
        <v>118149.99999999994</v>
      </c>
      <c r="G11" s="204"/>
      <c r="H11" s="204">
        <f>IF(A11&lt;=$N$2,D11+F11,"")</f>
        <v>385294.32566480094</v>
      </c>
      <c r="I11" s="204"/>
      <c r="J11" s="204">
        <f>IF(A11&lt;=$N$2,($N$3-(SUM($D$9:D10)))*$J$6,"")</f>
        <v>8861.25</v>
      </c>
      <c r="K11" s="204"/>
      <c r="L11" s="204"/>
      <c r="M11" s="204"/>
      <c r="N11" s="204">
        <f>IF(A11&lt;=$N$2,H11+J11+L11,"")</f>
        <v>394155.57566480094</v>
      </c>
      <c r="O11" s="205"/>
      <c r="P11" s="204">
        <f>IF(A11&lt;=$N$2,ROUND(N10+N11,-3),"")</f>
        <v>610000</v>
      </c>
      <c r="Q11" s="206">
        <f>IF(A11&lt;=$N$2,IF(MONTH(B11)&lt;7,YEAR(B11),YEAR(B11)+1),"")</f>
        <v>2018</v>
      </c>
      <c r="R11" s="207"/>
      <c r="S11" s="207"/>
      <c r="T11" s="207">
        <f>T10-R10</f>
        <v>11547855.674335198</v>
      </c>
      <c r="U11" s="207">
        <f t="shared" ref="U11:U74" si="0">U10</f>
        <v>503444.325664801</v>
      </c>
    </row>
    <row r="12" spans="1:23" x14ac:dyDescent="0.3">
      <c r="A12" s="179">
        <f>A11+1</f>
        <v>2</v>
      </c>
      <c r="B12" s="197">
        <f t="shared" ref="B12:B75" si="1">IF($N$2&gt;=A12,IF(MONTH(B11)=1,DATE(YEAR(B11),7,15),DATE(YEAR(B11)+1,1,15)),"")</f>
        <v>43296</v>
      </c>
      <c r="D12" s="208"/>
      <c r="E12" s="209"/>
      <c r="F12" s="209">
        <f>IF(A12&lt;=$N$2,$N$4*(180/360)*(SUM(D12:$D$89)),"")</f>
        <v>115478.55674335193</v>
      </c>
      <c r="G12" s="209"/>
      <c r="H12" s="209">
        <f t="shared" ref="H12:H13" si="2">IF(A12&lt;=$N$2,D12+F12,"")</f>
        <v>115478.55674335193</v>
      </c>
      <c r="I12" s="209"/>
      <c r="J12" s="209">
        <f>IF(A12&lt;=$N$2,($N$3-(SUM($D$9:D11)))*$J$6,"")</f>
        <v>8660.8917557513996</v>
      </c>
      <c r="K12" s="209"/>
      <c r="L12" s="209"/>
      <c r="M12" s="209"/>
      <c r="N12" s="209">
        <f t="shared" ref="N12:N75" si="3">IF(A12&lt;=$N$2,H12+J12+L12,"")</f>
        <v>124139.44849910334</v>
      </c>
      <c r="O12" s="200"/>
      <c r="Q12" s="186">
        <f t="shared" ref="Q12:Q75" si="4">IF(A12&lt;=$N$2,IF(MONTH(B12)&lt;7,YEAR(B12),YEAR(B12)+1),"")</f>
        <v>2019</v>
      </c>
      <c r="R12" s="209">
        <f>U12-S12</f>
        <v>272487.21217809699</v>
      </c>
      <c r="S12" s="209">
        <f>T12*$N$4</f>
        <v>230957.11348670398</v>
      </c>
      <c r="T12" s="209">
        <f>T11</f>
        <v>11547855.674335198</v>
      </c>
      <c r="U12" s="209">
        <f t="shared" si="0"/>
        <v>503444.325664801</v>
      </c>
    </row>
    <row r="13" spans="1:23" x14ac:dyDescent="0.3">
      <c r="A13" s="179">
        <f>A12</f>
        <v>2</v>
      </c>
      <c r="B13" s="197">
        <f t="shared" si="1"/>
        <v>43480</v>
      </c>
      <c r="D13" s="208">
        <f t="shared" ref="D13" si="5">IF(A13&lt;=$N$2,R12,"")</f>
        <v>272487.21217809699</v>
      </c>
      <c r="E13" s="209"/>
      <c r="F13" s="209">
        <f>IF(A13&lt;=$N$2,$N$4*(180/360)*(SUM(D13:$D$89)),"")</f>
        <v>115478.55674335193</v>
      </c>
      <c r="G13" s="209"/>
      <c r="H13" s="209">
        <f t="shared" si="2"/>
        <v>387965.76892144891</v>
      </c>
      <c r="I13" s="209"/>
      <c r="J13" s="209">
        <f>IF(A13&lt;=$N$2,($N$3-(SUM($D$9:D12)))*$J$6,"")</f>
        <v>8660.8917557513996</v>
      </c>
      <c r="K13" s="209"/>
      <c r="L13" s="209"/>
      <c r="M13" s="209"/>
      <c r="N13" s="209">
        <f t="shared" si="3"/>
        <v>396626.6606772003</v>
      </c>
      <c r="O13" s="200"/>
      <c r="P13" s="209">
        <f>IF(A13&lt;=$N$2,ROUND(N12+N13,-3),"")</f>
        <v>521000</v>
      </c>
      <c r="Q13" s="210">
        <f t="shared" si="4"/>
        <v>2019</v>
      </c>
      <c r="R13" s="209"/>
      <c r="S13" s="209"/>
      <c r="T13" s="209">
        <f>T12-R12</f>
        <v>11275368.462157102</v>
      </c>
      <c r="U13" s="209">
        <f t="shared" si="0"/>
        <v>503444.325664801</v>
      </c>
    </row>
    <row r="14" spans="1:23" x14ac:dyDescent="0.3">
      <c r="A14" s="179">
        <f>A13+1</f>
        <v>3</v>
      </c>
      <c r="B14" s="202">
        <f t="shared" si="1"/>
        <v>43661</v>
      </c>
      <c r="C14" s="203"/>
      <c r="D14" s="204"/>
      <c r="E14" s="204"/>
      <c r="F14" s="204">
        <f>IF(A14&lt;=$N$2,$N$4*(180/360)*(SUM(D14:$D$89)),"")</f>
        <v>112753.68462157097</v>
      </c>
      <c r="G14" s="204"/>
      <c r="H14" s="204">
        <f>IF(A14&lt;=$N$2,D14+F14,"")</f>
        <v>112753.68462157097</v>
      </c>
      <c r="I14" s="204"/>
      <c r="J14" s="204">
        <f>IF(A14&lt;=$N$2,($N$3-(SUM($D$9:D13)))*$J$6,"")</f>
        <v>8456.5263466178276</v>
      </c>
      <c r="K14" s="204"/>
      <c r="L14" s="204"/>
      <c r="M14" s="204"/>
      <c r="N14" s="204">
        <f t="shared" si="3"/>
        <v>121210.2109681888</v>
      </c>
      <c r="O14" s="205"/>
      <c r="P14" s="203"/>
      <c r="Q14" s="206">
        <f t="shared" si="4"/>
        <v>2020</v>
      </c>
      <c r="R14" s="207">
        <f>U14-S14</f>
        <v>277936.95642165898</v>
      </c>
      <c r="S14" s="207">
        <f>T14*$N$4</f>
        <v>225507.36924314205</v>
      </c>
      <c r="T14" s="207">
        <f>T13</f>
        <v>11275368.462157102</v>
      </c>
      <c r="U14" s="207">
        <f t="shared" si="0"/>
        <v>503444.325664801</v>
      </c>
    </row>
    <row r="15" spans="1:23" x14ac:dyDescent="0.3">
      <c r="A15" s="179">
        <f>A14</f>
        <v>3</v>
      </c>
      <c r="B15" s="202">
        <f t="shared" si="1"/>
        <v>43845</v>
      </c>
      <c r="C15" s="203"/>
      <c r="D15" s="204">
        <f t="shared" ref="D15" si="6">IF(A15&lt;=$N$2,R14,"")</f>
        <v>277936.95642165898</v>
      </c>
      <c r="E15" s="204"/>
      <c r="F15" s="204">
        <f>IF(A15&lt;=$N$2,$N$4*(180/360)*(SUM(D15:$D$89)),"")</f>
        <v>112753.68462157097</v>
      </c>
      <c r="G15" s="204"/>
      <c r="H15" s="204">
        <f>IF(A15&lt;=$N$2,D15+F15,"")</f>
        <v>390690.64104322996</v>
      </c>
      <c r="I15" s="204"/>
      <c r="J15" s="204">
        <f>IF(A15&lt;=$N$2,($N$3-(SUM($D$9:D14)))*$J$6,"")</f>
        <v>8456.5263466178276</v>
      </c>
      <c r="K15" s="204"/>
      <c r="L15" s="204"/>
      <c r="M15" s="204"/>
      <c r="N15" s="204">
        <f t="shared" si="3"/>
        <v>399147.1673898478</v>
      </c>
      <c r="O15" s="205"/>
      <c r="P15" s="204">
        <f>IF(A15&lt;=$N$2,ROUND(N14+N15,-3),"")</f>
        <v>520000</v>
      </c>
      <c r="Q15" s="206">
        <f t="shared" si="4"/>
        <v>2020</v>
      </c>
      <c r="R15" s="207"/>
      <c r="S15" s="207"/>
      <c r="T15" s="207">
        <f>T14-R14</f>
        <v>10997431.505735444</v>
      </c>
      <c r="U15" s="207">
        <f t="shared" si="0"/>
        <v>503444.325664801</v>
      </c>
    </row>
    <row r="16" spans="1:23" x14ac:dyDescent="0.3">
      <c r="A16" s="179">
        <f t="shared" ref="A16" si="7">A15+1</f>
        <v>4</v>
      </c>
      <c r="B16" s="197">
        <f t="shared" si="1"/>
        <v>44027</v>
      </c>
      <c r="D16" s="208"/>
      <c r="E16" s="209"/>
      <c r="F16" s="209">
        <f>IF(A16&lt;=$N$2,$N$4*(180/360)*(SUM(D16:$D$89)),"")</f>
        <v>109974.31505735437</v>
      </c>
      <c r="G16" s="209"/>
      <c r="H16" s="209">
        <f t="shared" ref="H16:H79" si="8">IF(A16&lt;=$N$2,D16+F16,"")</f>
        <v>109974.31505735437</v>
      </c>
      <c r="I16" s="209"/>
      <c r="J16" s="209">
        <f>IF(A16&lt;=$N$2,($N$3-(SUM($D$9:D15)))*$J$6,"")</f>
        <v>8248.0736293015834</v>
      </c>
      <c r="K16" s="209"/>
      <c r="L16" s="209"/>
      <c r="M16" s="209"/>
      <c r="N16" s="209">
        <f t="shared" si="3"/>
        <v>118222.38868665595</v>
      </c>
      <c r="O16" s="200"/>
      <c r="Q16" s="186">
        <f t="shared" si="4"/>
        <v>2021</v>
      </c>
      <c r="R16" s="209">
        <f>U16-S16</f>
        <v>283495.69555009215</v>
      </c>
      <c r="S16" s="209">
        <f>T16*$N$4</f>
        <v>219948.63011470888</v>
      </c>
      <c r="T16" s="209">
        <f>T15</f>
        <v>10997431.505735444</v>
      </c>
      <c r="U16" s="209">
        <f t="shared" si="0"/>
        <v>503444.325664801</v>
      </c>
    </row>
    <row r="17" spans="1:21" x14ac:dyDescent="0.3">
      <c r="A17" s="179">
        <f t="shared" ref="A17" si="9">A16</f>
        <v>4</v>
      </c>
      <c r="B17" s="197">
        <f t="shared" si="1"/>
        <v>44211</v>
      </c>
      <c r="D17" s="208">
        <f t="shared" ref="D17" si="10">IF(A17&lt;=$N$2,R16,"")</f>
        <v>283495.69555009215</v>
      </c>
      <c r="E17" s="209"/>
      <c r="F17" s="209">
        <f>IF(A17&lt;=$N$2,$N$4*(180/360)*(SUM(D17:$D$89)),"")</f>
        <v>109974.31505735437</v>
      </c>
      <c r="G17" s="209"/>
      <c r="H17" s="209">
        <f t="shared" si="8"/>
        <v>393470.01060744654</v>
      </c>
      <c r="I17" s="209"/>
      <c r="J17" s="209">
        <f>IF(A17&lt;=$N$2,($N$3-(SUM($D$9:D16)))*$J$6,"")</f>
        <v>8248.0736293015834</v>
      </c>
      <c r="K17" s="209"/>
      <c r="L17" s="209"/>
      <c r="M17" s="209"/>
      <c r="N17" s="209">
        <f t="shared" si="3"/>
        <v>401718.08423674811</v>
      </c>
      <c r="O17" s="200"/>
      <c r="P17" s="209">
        <f>IF(A17&lt;=$N$2,ROUND(N16+N17,-3),"")</f>
        <v>520000</v>
      </c>
      <c r="Q17" s="210">
        <f t="shared" si="4"/>
        <v>2021</v>
      </c>
      <c r="R17" s="209"/>
      <c r="S17" s="209"/>
      <c r="T17" s="209">
        <f>T16-R16</f>
        <v>10713935.810185352</v>
      </c>
      <c r="U17" s="209">
        <f t="shared" si="0"/>
        <v>503444.325664801</v>
      </c>
    </row>
    <row r="18" spans="1:21" x14ac:dyDescent="0.3">
      <c r="A18" s="179">
        <f t="shared" ref="A18" si="11">A17+1</f>
        <v>5</v>
      </c>
      <c r="B18" s="202">
        <f t="shared" si="1"/>
        <v>44392</v>
      </c>
      <c r="C18" s="203"/>
      <c r="D18" s="204"/>
      <c r="E18" s="204"/>
      <c r="F18" s="204">
        <f>IF(A18&lt;=$N$2,$N$4*(180/360)*(SUM(D18:$D$89)),"")</f>
        <v>107139.35810185345</v>
      </c>
      <c r="G18" s="204"/>
      <c r="H18" s="204">
        <f t="shared" si="8"/>
        <v>107139.35810185345</v>
      </c>
      <c r="I18" s="204"/>
      <c r="J18" s="204">
        <f>IF(A18&lt;=$N$2,($N$3-(SUM($D$9:D17)))*$J$6,"")</f>
        <v>8035.4518576390128</v>
      </c>
      <c r="K18" s="204"/>
      <c r="L18" s="204"/>
      <c r="M18" s="204"/>
      <c r="N18" s="204">
        <f t="shared" si="3"/>
        <v>115174.80995949246</v>
      </c>
      <c r="O18" s="205"/>
      <c r="P18" s="203"/>
      <c r="Q18" s="206">
        <f t="shared" si="4"/>
        <v>2022</v>
      </c>
      <c r="R18" s="207">
        <f>U18-S18</f>
        <v>289165.60946109396</v>
      </c>
      <c r="S18" s="207">
        <f>T18*$N$4</f>
        <v>214278.71620370704</v>
      </c>
      <c r="T18" s="207">
        <f>T17</f>
        <v>10713935.810185352</v>
      </c>
      <c r="U18" s="207">
        <f t="shared" si="0"/>
        <v>503444.325664801</v>
      </c>
    </row>
    <row r="19" spans="1:21" x14ac:dyDescent="0.3">
      <c r="A19" s="179">
        <f t="shared" ref="A19" si="12">A18</f>
        <v>5</v>
      </c>
      <c r="B19" s="202">
        <f t="shared" si="1"/>
        <v>44576</v>
      </c>
      <c r="C19" s="203"/>
      <c r="D19" s="204">
        <f t="shared" ref="D19" si="13">IF(A19&lt;=$N$2,R18,"")</f>
        <v>289165.60946109396</v>
      </c>
      <c r="E19" s="204"/>
      <c r="F19" s="204">
        <f>IF(A19&lt;=$N$2,$N$4*(180/360)*(SUM(D19:$D$89)),"")</f>
        <v>107139.35810185345</v>
      </c>
      <c r="G19" s="204"/>
      <c r="H19" s="204">
        <f t="shared" si="8"/>
        <v>396304.96756294742</v>
      </c>
      <c r="I19" s="204"/>
      <c r="J19" s="204">
        <f>IF(A19&lt;=$N$2,($N$3-(SUM($D$9:D18)))*$J$6,"")</f>
        <v>8035.4518576390128</v>
      </c>
      <c r="K19" s="204"/>
      <c r="L19" s="204"/>
      <c r="M19" s="204"/>
      <c r="N19" s="204">
        <f t="shared" si="3"/>
        <v>404340.41942058643</v>
      </c>
      <c r="O19" s="205"/>
      <c r="P19" s="204">
        <f t="shared" ref="P19" si="14">IF(A19&lt;=$N$2,ROUND(N18+N19,-3),"")</f>
        <v>520000</v>
      </c>
      <c r="Q19" s="206">
        <f t="shared" si="4"/>
        <v>2022</v>
      </c>
      <c r="R19" s="207"/>
      <c r="S19" s="207"/>
      <c r="T19" s="207">
        <f>T18-R18</f>
        <v>10424770.200724259</v>
      </c>
      <c r="U19" s="207">
        <f t="shared" si="0"/>
        <v>503444.325664801</v>
      </c>
    </row>
    <row r="20" spans="1:21" x14ac:dyDescent="0.3">
      <c r="A20" s="179">
        <f t="shared" ref="A20" si="15">A19+1</f>
        <v>6</v>
      </c>
      <c r="B20" s="197">
        <f t="shared" si="1"/>
        <v>44757</v>
      </c>
      <c r="D20" s="208"/>
      <c r="E20" s="209"/>
      <c r="F20" s="209">
        <f>IF(A20&lt;=$N$2,$N$4*(180/360)*(SUM(D20:$D$89)),"")</f>
        <v>104247.70200724252</v>
      </c>
      <c r="G20" s="209"/>
      <c r="H20" s="209">
        <f t="shared" si="8"/>
        <v>104247.70200724252</v>
      </c>
      <c r="I20" s="209"/>
      <c r="J20" s="209">
        <f>IF(A20&lt;=$N$2,($N$3-(SUM($D$9:D19)))*$J$6,"")</f>
        <v>7818.5776505431932</v>
      </c>
      <c r="K20" s="209"/>
      <c r="L20" s="209"/>
      <c r="M20" s="209"/>
      <c r="N20" s="209">
        <f t="shared" si="3"/>
        <v>112066.27965778572</v>
      </c>
      <c r="O20" s="200"/>
      <c r="Q20" s="186">
        <f t="shared" si="4"/>
        <v>2023</v>
      </c>
      <c r="R20" s="209">
        <f>U20-S20</f>
        <v>294948.92165031581</v>
      </c>
      <c r="S20" s="209">
        <f>T20*$N$4</f>
        <v>208495.40401448519</v>
      </c>
      <c r="T20" s="209">
        <f>T19</f>
        <v>10424770.200724259</v>
      </c>
      <c r="U20" s="209">
        <f t="shared" si="0"/>
        <v>503444.325664801</v>
      </c>
    </row>
    <row r="21" spans="1:21" x14ac:dyDescent="0.3">
      <c r="A21" s="179">
        <f t="shared" ref="A21" si="16">A20</f>
        <v>6</v>
      </c>
      <c r="B21" s="197">
        <f t="shared" si="1"/>
        <v>44941</v>
      </c>
      <c r="D21" s="208">
        <f t="shared" ref="D21" si="17">IF(A21&lt;=$N$2,R20,"")</f>
        <v>294948.92165031581</v>
      </c>
      <c r="E21" s="209"/>
      <c r="F21" s="209">
        <f>IF(A21&lt;=$N$2,$N$4*(180/360)*(SUM(D21:$D$89)),"")</f>
        <v>104247.70200724252</v>
      </c>
      <c r="G21" s="209"/>
      <c r="H21" s="209">
        <f t="shared" si="8"/>
        <v>399196.62365755835</v>
      </c>
      <c r="I21" s="209"/>
      <c r="J21" s="209">
        <f>IF(A21&lt;=$N$2,($N$3-(SUM($D$9:D20)))*$J$6,"")</f>
        <v>7818.5776505431932</v>
      </c>
      <c r="K21" s="209"/>
      <c r="L21" s="209"/>
      <c r="M21" s="209"/>
      <c r="N21" s="209">
        <f t="shared" si="3"/>
        <v>407015.20130810153</v>
      </c>
      <c r="O21" s="200"/>
      <c r="P21" s="209">
        <f t="shared" ref="P21" si="18">IF(A21&lt;=$N$2,ROUND(N20+N21,-3),"")</f>
        <v>519000</v>
      </c>
      <c r="Q21" s="210">
        <f t="shared" si="4"/>
        <v>2023</v>
      </c>
      <c r="R21" s="209"/>
      <c r="S21" s="209"/>
      <c r="T21" s="209">
        <f>T20-R20</f>
        <v>10129821.279073942</v>
      </c>
      <c r="U21" s="209">
        <f t="shared" si="0"/>
        <v>503444.325664801</v>
      </c>
    </row>
    <row r="22" spans="1:21" x14ac:dyDescent="0.3">
      <c r="A22" s="179">
        <f t="shared" ref="A22" si="19">A21+1</f>
        <v>7</v>
      </c>
      <c r="B22" s="202">
        <f t="shared" si="1"/>
        <v>45122</v>
      </c>
      <c r="C22" s="203"/>
      <c r="D22" s="204"/>
      <c r="E22" s="204"/>
      <c r="F22" s="204">
        <f>IF(A22&lt;=$N$2,$N$4*(180/360)*(SUM(D22:$D$89)),"")</f>
        <v>101298.21279073936</v>
      </c>
      <c r="G22" s="204"/>
      <c r="H22" s="204">
        <f t="shared" si="8"/>
        <v>101298.21279073936</v>
      </c>
      <c r="I22" s="204"/>
      <c r="J22" s="204">
        <f>IF(A22&lt;=$N$2,($N$3-(SUM($D$9:D21)))*$J$6,"")</f>
        <v>7597.3659593054554</v>
      </c>
      <c r="K22" s="204"/>
      <c r="L22" s="204"/>
      <c r="M22" s="204"/>
      <c r="N22" s="204">
        <f t="shared" si="3"/>
        <v>108895.57875004482</v>
      </c>
      <c r="O22" s="205"/>
      <c r="P22" s="203"/>
      <c r="Q22" s="206">
        <f t="shared" si="4"/>
        <v>2024</v>
      </c>
      <c r="R22" s="207">
        <f>U22-S22</f>
        <v>300847.90008332214</v>
      </c>
      <c r="S22" s="207">
        <f>T22*$N$4</f>
        <v>202596.42558147886</v>
      </c>
      <c r="T22" s="207">
        <f>T21</f>
        <v>10129821.279073942</v>
      </c>
      <c r="U22" s="207">
        <f t="shared" si="0"/>
        <v>503444.325664801</v>
      </c>
    </row>
    <row r="23" spans="1:21" x14ac:dyDescent="0.3">
      <c r="A23" s="179">
        <f t="shared" ref="A23" si="20">A22</f>
        <v>7</v>
      </c>
      <c r="B23" s="202">
        <f t="shared" si="1"/>
        <v>45306</v>
      </c>
      <c r="C23" s="203"/>
      <c r="D23" s="204">
        <f t="shared" ref="D23" si="21">IF(A23&lt;=$N$2,R22,"")</f>
        <v>300847.90008332214</v>
      </c>
      <c r="E23" s="204"/>
      <c r="F23" s="204">
        <f>IF(A23&lt;=$N$2,$N$4*(180/360)*(SUM(D23:$D$89)),"")</f>
        <v>101298.21279073936</v>
      </c>
      <c r="G23" s="204"/>
      <c r="H23" s="204">
        <f t="shared" si="8"/>
        <v>402146.11287406151</v>
      </c>
      <c r="I23" s="204"/>
      <c r="J23" s="204">
        <f>IF(A23&lt;=$N$2,($N$3-(SUM($D$9:D22)))*$J$6,"")</f>
        <v>7597.3659593054554</v>
      </c>
      <c r="K23" s="204"/>
      <c r="L23" s="204"/>
      <c r="M23" s="204"/>
      <c r="N23" s="204">
        <f t="shared" si="3"/>
        <v>409743.47883336694</v>
      </c>
      <c r="O23" s="205"/>
      <c r="P23" s="204">
        <f t="shared" ref="P23" si="22">IF(A23&lt;=$N$2,ROUND(N22+N23,-3),"")</f>
        <v>519000</v>
      </c>
      <c r="Q23" s="206">
        <f t="shared" si="4"/>
        <v>2024</v>
      </c>
      <c r="R23" s="207"/>
      <c r="S23" s="207"/>
      <c r="T23" s="207">
        <f>T22-R22</f>
        <v>9828973.3789906204</v>
      </c>
      <c r="U23" s="207">
        <f t="shared" si="0"/>
        <v>503444.325664801</v>
      </c>
    </row>
    <row r="24" spans="1:21" x14ac:dyDescent="0.3">
      <c r="A24" s="179">
        <f t="shared" ref="A24" si="23">A23+1</f>
        <v>8</v>
      </c>
      <c r="B24" s="197">
        <f t="shared" si="1"/>
        <v>45488</v>
      </c>
      <c r="D24" s="208"/>
      <c r="E24" s="209"/>
      <c r="F24" s="209">
        <f>IF(A24&lt;=$N$2,$N$4*(180/360)*(SUM(D24:$D$89)),"")</f>
        <v>98289.733789906153</v>
      </c>
      <c r="G24" s="209"/>
      <c r="H24" s="209">
        <f t="shared" si="8"/>
        <v>98289.733789906153</v>
      </c>
      <c r="I24" s="209"/>
      <c r="J24" s="209">
        <f>IF(A24&lt;=$N$2,($N$3-(SUM($D$9:D23)))*$J$6,"")</f>
        <v>7371.7300342429644</v>
      </c>
      <c r="K24" s="209"/>
      <c r="L24" s="209"/>
      <c r="M24" s="209"/>
      <c r="N24" s="209">
        <f t="shared" si="3"/>
        <v>105661.46382414912</v>
      </c>
      <c r="O24" s="200"/>
      <c r="Q24" s="186">
        <f t="shared" si="4"/>
        <v>2025</v>
      </c>
      <c r="R24" s="209">
        <f>U24-S24</f>
        <v>306864.85808498855</v>
      </c>
      <c r="S24" s="209">
        <f>T24*$N$4</f>
        <v>196579.46757981242</v>
      </c>
      <c r="T24" s="209">
        <f>T23</f>
        <v>9828973.3789906204</v>
      </c>
      <c r="U24" s="209">
        <f t="shared" si="0"/>
        <v>503444.325664801</v>
      </c>
    </row>
    <row r="25" spans="1:21" x14ac:dyDescent="0.3">
      <c r="A25" s="179">
        <f t="shared" ref="A25" si="24">A24</f>
        <v>8</v>
      </c>
      <c r="B25" s="197">
        <f t="shared" si="1"/>
        <v>45672</v>
      </c>
      <c r="D25" s="208">
        <f t="shared" ref="D25" si="25">IF(A25&lt;=$N$2,R24,"")</f>
        <v>306864.85808498855</v>
      </c>
      <c r="E25" s="209"/>
      <c r="F25" s="209">
        <f>IF(A25&lt;=$N$2,$N$4*(180/360)*(SUM(D25:$D$89)),"")</f>
        <v>98289.733789906153</v>
      </c>
      <c r="G25" s="209"/>
      <c r="H25" s="209">
        <f t="shared" si="8"/>
        <v>405154.59187489469</v>
      </c>
      <c r="I25" s="209"/>
      <c r="J25" s="209">
        <f>IF(A25&lt;=$N$2,($N$3-(SUM($D$9:D24)))*$J$6,"")</f>
        <v>7371.7300342429644</v>
      </c>
      <c r="K25" s="209"/>
      <c r="L25" s="209"/>
      <c r="M25" s="209"/>
      <c r="N25" s="209">
        <f t="shared" si="3"/>
        <v>412526.32190913765</v>
      </c>
      <c r="O25" s="200"/>
      <c r="P25" s="209">
        <f t="shared" ref="P25" si="26">IF(A25&lt;=$N$2,ROUND(N24+N25,-3),"")</f>
        <v>518000</v>
      </c>
      <c r="Q25" s="210">
        <f t="shared" si="4"/>
        <v>2025</v>
      </c>
      <c r="R25" s="209"/>
      <c r="S25" s="209"/>
      <c r="T25" s="209">
        <f>T24-R24</f>
        <v>9522108.5209056325</v>
      </c>
      <c r="U25" s="209">
        <f t="shared" si="0"/>
        <v>503444.325664801</v>
      </c>
    </row>
    <row r="26" spans="1:21" x14ac:dyDescent="0.3">
      <c r="A26" s="179">
        <f t="shared" ref="A26" si="27">A25+1</f>
        <v>9</v>
      </c>
      <c r="B26" s="202">
        <f t="shared" si="1"/>
        <v>45853</v>
      </c>
      <c r="C26" s="203"/>
      <c r="D26" s="204"/>
      <c r="E26" s="204"/>
      <c r="F26" s="204">
        <f>IF(A26&lt;=$N$2,$N$4*(180/360)*(SUM(D26:$D$89)),"")</f>
        <v>95221.085209056269</v>
      </c>
      <c r="G26" s="204"/>
      <c r="H26" s="204">
        <f t="shared" si="8"/>
        <v>95221.085209056269</v>
      </c>
      <c r="I26" s="204"/>
      <c r="J26" s="204">
        <f>IF(A26&lt;=$N$2,($N$3-(SUM($D$9:D25)))*$J$6,"")</f>
        <v>7141.5813906792227</v>
      </c>
      <c r="K26" s="204"/>
      <c r="L26" s="204"/>
      <c r="M26" s="204"/>
      <c r="N26" s="204">
        <f t="shared" si="3"/>
        <v>102362.66659973549</v>
      </c>
      <c r="O26" s="205"/>
      <c r="P26" s="203"/>
      <c r="Q26" s="206">
        <f t="shared" si="4"/>
        <v>2026</v>
      </c>
      <c r="R26" s="207">
        <f>U26-S26</f>
        <v>313002.15524668834</v>
      </c>
      <c r="S26" s="207">
        <f>T26*$N$4</f>
        <v>190442.17041811266</v>
      </c>
      <c r="T26" s="207">
        <f>T25</f>
        <v>9522108.5209056325</v>
      </c>
      <c r="U26" s="207">
        <f t="shared" si="0"/>
        <v>503444.325664801</v>
      </c>
    </row>
    <row r="27" spans="1:21" x14ac:dyDescent="0.3">
      <c r="A27" s="179">
        <f t="shared" ref="A27" si="28">A26</f>
        <v>9</v>
      </c>
      <c r="B27" s="202">
        <f t="shared" si="1"/>
        <v>46037</v>
      </c>
      <c r="C27" s="203"/>
      <c r="D27" s="204">
        <f t="shared" ref="D27" si="29">IF(A27&lt;=$N$2,R26,"")</f>
        <v>313002.15524668834</v>
      </c>
      <c r="E27" s="204"/>
      <c r="F27" s="204">
        <f>IF(A27&lt;=$N$2,$N$4*(180/360)*(SUM(D27:$D$89)),"")</f>
        <v>95221.085209056269</v>
      </c>
      <c r="G27" s="204"/>
      <c r="H27" s="204">
        <f t="shared" si="8"/>
        <v>408223.24045574461</v>
      </c>
      <c r="I27" s="204"/>
      <c r="J27" s="204">
        <f>IF(A27&lt;=$N$2,($N$3-(SUM($D$9:D26)))*$J$6,"")</f>
        <v>7141.5813906792227</v>
      </c>
      <c r="K27" s="204"/>
      <c r="L27" s="204"/>
      <c r="M27" s="204"/>
      <c r="N27" s="204">
        <f t="shared" si="3"/>
        <v>415364.82184642385</v>
      </c>
      <c r="O27" s="205"/>
      <c r="P27" s="204">
        <f t="shared" ref="P27" si="30">IF(A27&lt;=$N$2,ROUND(N26+N27,-3),"")</f>
        <v>518000</v>
      </c>
      <c r="Q27" s="206">
        <f t="shared" si="4"/>
        <v>2026</v>
      </c>
      <c r="R27" s="207"/>
      <c r="S27" s="207"/>
      <c r="T27" s="207">
        <f>T26-R26</f>
        <v>9209106.3656589445</v>
      </c>
      <c r="U27" s="207">
        <f t="shared" si="0"/>
        <v>503444.325664801</v>
      </c>
    </row>
    <row r="28" spans="1:21" x14ac:dyDescent="0.3">
      <c r="A28" s="179">
        <f t="shared" ref="A28" si="31">A27+1</f>
        <v>10</v>
      </c>
      <c r="B28" s="197">
        <f t="shared" si="1"/>
        <v>46218</v>
      </c>
      <c r="D28" s="208"/>
      <c r="E28" s="209"/>
      <c r="F28" s="209">
        <f>IF(A28&lt;=$N$2,$N$4*(180/360)*(SUM(D28:$D$89)),"")</f>
        <v>92091.063656589395</v>
      </c>
      <c r="G28" s="209"/>
      <c r="H28" s="209">
        <f t="shared" si="8"/>
        <v>92091.063656589395</v>
      </c>
      <c r="I28" s="209"/>
      <c r="J28" s="209">
        <f>IF(A28&lt;=$N$2,($N$3-(SUM($D$9:D27)))*$J$6,"")</f>
        <v>6906.8297742442073</v>
      </c>
      <c r="K28" s="209"/>
      <c r="L28" s="209"/>
      <c r="M28" s="209"/>
      <c r="N28" s="209">
        <f t="shared" si="3"/>
        <v>98997.893430833603</v>
      </c>
      <c r="O28" s="200"/>
      <c r="Q28" s="186">
        <f t="shared" si="4"/>
        <v>2027</v>
      </c>
      <c r="R28" s="209">
        <f>U28-S28</f>
        <v>319262.19835162209</v>
      </c>
      <c r="S28" s="209">
        <f>T28*$N$4</f>
        <v>184182.12731317891</v>
      </c>
      <c r="T28" s="209">
        <f>T27</f>
        <v>9209106.3656589445</v>
      </c>
      <c r="U28" s="209">
        <f t="shared" si="0"/>
        <v>503444.325664801</v>
      </c>
    </row>
    <row r="29" spans="1:21" x14ac:dyDescent="0.3">
      <c r="A29" s="179">
        <f t="shared" ref="A29" si="32">A28</f>
        <v>10</v>
      </c>
      <c r="B29" s="197">
        <f t="shared" si="1"/>
        <v>46402</v>
      </c>
      <c r="D29" s="208">
        <f t="shared" ref="D29" si="33">IF(A29&lt;=$N$2,R28,"")</f>
        <v>319262.19835162209</v>
      </c>
      <c r="E29" s="209"/>
      <c r="F29" s="209">
        <f>IF(A29&lt;=$N$2,$N$4*(180/360)*(SUM(D29:$D$89)),"")</f>
        <v>92091.063656589395</v>
      </c>
      <c r="G29" s="209"/>
      <c r="H29" s="209">
        <f t="shared" si="8"/>
        <v>411353.26200821146</v>
      </c>
      <c r="I29" s="209"/>
      <c r="J29" s="209">
        <f>IF(A29&lt;=$N$2,($N$3-(SUM($D$9:D28)))*$J$6,"")</f>
        <v>6906.8297742442073</v>
      </c>
      <c r="K29" s="209"/>
      <c r="L29" s="209"/>
      <c r="M29" s="209"/>
      <c r="N29" s="209">
        <f t="shared" si="3"/>
        <v>418260.09178245568</v>
      </c>
      <c r="O29" s="200"/>
      <c r="P29" s="209">
        <f t="shared" ref="P29" si="34">IF(A29&lt;=$N$2,ROUND(N28+N29,-3),"")</f>
        <v>517000</v>
      </c>
      <c r="Q29" s="210">
        <f t="shared" si="4"/>
        <v>2027</v>
      </c>
      <c r="R29" s="209"/>
      <c r="S29" s="209"/>
      <c r="T29" s="209">
        <f>T28-R28</f>
        <v>8889844.1673073228</v>
      </c>
      <c r="U29" s="209">
        <f t="shared" si="0"/>
        <v>503444.325664801</v>
      </c>
    </row>
    <row r="30" spans="1:21" x14ac:dyDescent="0.3">
      <c r="A30" s="179">
        <f t="shared" ref="A30" si="35">A29+1</f>
        <v>11</v>
      </c>
      <c r="B30" s="202">
        <f t="shared" si="1"/>
        <v>46583</v>
      </c>
      <c r="C30" s="203"/>
      <c r="D30" s="204"/>
      <c r="E30" s="204"/>
      <c r="F30" s="204">
        <f>IF(A30&lt;=$N$2,$N$4*(180/360)*(SUM(D30:$D$89)),"")</f>
        <v>88898.441673073161</v>
      </c>
      <c r="G30" s="204"/>
      <c r="H30" s="204">
        <f t="shared" si="8"/>
        <v>88898.441673073161</v>
      </c>
      <c r="I30" s="204"/>
      <c r="J30" s="204">
        <f>IF(A30&lt;=$N$2,($N$3-(SUM($D$9:D29)))*$J$6,"")</f>
        <v>6667.3831254804909</v>
      </c>
      <c r="K30" s="204"/>
      <c r="L30" s="204"/>
      <c r="M30" s="204"/>
      <c r="N30" s="204">
        <f t="shared" si="3"/>
        <v>95565.824798553658</v>
      </c>
      <c r="O30" s="205"/>
      <c r="P30" s="203"/>
      <c r="Q30" s="206">
        <f t="shared" si="4"/>
        <v>2028</v>
      </c>
      <c r="R30" s="207">
        <f>U30-S30</f>
        <v>325647.4423186545</v>
      </c>
      <c r="S30" s="207">
        <f>T30*$N$4</f>
        <v>177796.88334614647</v>
      </c>
      <c r="T30" s="207">
        <f>T29</f>
        <v>8889844.1673073228</v>
      </c>
      <c r="U30" s="207">
        <f t="shared" si="0"/>
        <v>503444.325664801</v>
      </c>
    </row>
    <row r="31" spans="1:21" x14ac:dyDescent="0.3">
      <c r="A31" s="179">
        <f t="shared" ref="A31" si="36">A30</f>
        <v>11</v>
      </c>
      <c r="B31" s="202">
        <f t="shared" si="1"/>
        <v>46767</v>
      </c>
      <c r="C31" s="203"/>
      <c r="D31" s="204">
        <f t="shared" ref="D31" si="37">IF(A31&lt;=$N$2,R30,"")</f>
        <v>325647.4423186545</v>
      </c>
      <c r="E31" s="204"/>
      <c r="F31" s="204">
        <f>IF(A31&lt;=$N$2,$N$4*(180/360)*(SUM(D31:$D$89)),"")</f>
        <v>88898.441673073161</v>
      </c>
      <c r="G31" s="204"/>
      <c r="H31" s="204">
        <f t="shared" si="8"/>
        <v>414545.88399172766</v>
      </c>
      <c r="I31" s="204"/>
      <c r="J31" s="204">
        <f>IF(A31&lt;=$N$2,($N$3-(SUM($D$9:D30)))*$J$6,"")</f>
        <v>6667.3831254804909</v>
      </c>
      <c r="K31" s="204"/>
      <c r="L31" s="204"/>
      <c r="M31" s="204"/>
      <c r="N31" s="204">
        <f t="shared" si="3"/>
        <v>421213.26711720816</v>
      </c>
      <c r="O31" s="205"/>
      <c r="P31" s="204">
        <f t="shared" ref="P31" si="38">IF(A31&lt;=$N$2,ROUND(N30+N31,-3),"")</f>
        <v>517000</v>
      </c>
      <c r="Q31" s="206">
        <f t="shared" si="4"/>
        <v>2028</v>
      </c>
      <c r="R31" s="207"/>
      <c r="S31" s="207"/>
      <c r="T31" s="207">
        <f>T30-R30</f>
        <v>8564196.7249886692</v>
      </c>
      <c r="U31" s="207">
        <f t="shared" si="0"/>
        <v>503444.325664801</v>
      </c>
    </row>
    <row r="32" spans="1:21" x14ac:dyDescent="0.3">
      <c r="A32" s="179">
        <f t="shared" ref="A32" si="39">A31+1</f>
        <v>12</v>
      </c>
      <c r="B32" s="197">
        <f t="shared" si="1"/>
        <v>46949</v>
      </c>
      <c r="D32" s="208"/>
      <c r="E32" s="209"/>
      <c r="F32" s="209">
        <f>IF(A32&lt;=$N$2,$N$4*(180/360)*(SUM(D32:$D$89)),"")</f>
        <v>85641.967249886613</v>
      </c>
      <c r="G32" s="209"/>
      <c r="H32" s="209">
        <f t="shared" si="8"/>
        <v>85641.967249886613</v>
      </c>
      <c r="I32" s="209"/>
      <c r="J32" s="209">
        <f>IF(A32&lt;=$N$2,($N$3-(SUM($D$9:D31)))*$J$6,"")</f>
        <v>6423.1475437414992</v>
      </c>
      <c r="K32" s="209"/>
      <c r="L32" s="209"/>
      <c r="M32" s="209"/>
      <c r="N32" s="209">
        <f t="shared" si="3"/>
        <v>92065.114793628105</v>
      </c>
      <c r="O32" s="200"/>
      <c r="Q32" s="186">
        <f t="shared" si="4"/>
        <v>2029</v>
      </c>
      <c r="R32" s="209">
        <f>U32-S32</f>
        <v>332160.39116502763</v>
      </c>
      <c r="S32" s="209">
        <f>T32*$N$4</f>
        <v>171283.9344997734</v>
      </c>
      <c r="T32" s="209">
        <f>T31</f>
        <v>8564196.7249886692</v>
      </c>
      <c r="U32" s="209">
        <f t="shared" si="0"/>
        <v>503444.325664801</v>
      </c>
    </row>
    <row r="33" spans="1:21" x14ac:dyDescent="0.3">
      <c r="A33" s="179">
        <f t="shared" ref="A33" si="40">A32</f>
        <v>12</v>
      </c>
      <c r="B33" s="197">
        <f t="shared" si="1"/>
        <v>47133</v>
      </c>
      <c r="D33" s="208">
        <f t="shared" ref="D33" si="41">IF(A33&lt;=$N$2,R32,"")</f>
        <v>332160.39116502763</v>
      </c>
      <c r="E33" s="209"/>
      <c r="F33" s="209">
        <f>IF(A33&lt;=$N$2,$N$4*(180/360)*(SUM(D33:$D$89)),"")</f>
        <v>85641.967249886613</v>
      </c>
      <c r="G33" s="209"/>
      <c r="H33" s="209">
        <f t="shared" si="8"/>
        <v>417802.35841491423</v>
      </c>
      <c r="I33" s="209"/>
      <c r="J33" s="209">
        <f>IF(A33&lt;=$N$2,($N$3-(SUM($D$9:D32)))*$J$6,"")</f>
        <v>6423.1475437414992</v>
      </c>
      <c r="K33" s="209"/>
      <c r="L33" s="209"/>
      <c r="M33" s="209"/>
      <c r="N33" s="209">
        <f t="shared" si="3"/>
        <v>424225.50595865573</v>
      </c>
      <c r="O33" s="200"/>
      <c r="P33" s="209">
        <f t="shared" ref="P33" si="42">IF(A33&lt;=$N$2,ROUND(N32+N33,-3),"")</f>
        <v>516000</v>
      </c>
      <c r="Q33" s="210">
        <f t="shared" si="4"/>
        <v>2029</v>
      </c>
      <c r="R33" s="209"/>
      <c r="S33" s="209"/>
      <c r="T33" s="209">
        <f>T32-R32</f>
        <v>8232036.3338236418</v>
      </c>
      <c r="U33" s="209">
        <f t="shared" si="0"/>
        <v>503444.325664801</v>
      </c>
    </row>
    <row r="34" spans="1:21" x14ac:dyDescent="0.3">
      <c r="A34" s="179">
        <f t="shared" ref="A34" si="43">A33+1</f>
        <v>13</v>
      </c>
      <c r="B34" s="202">
        <f t="shared" si="1"/>
        <v>47314</v>
      </c>
      <c r="C34" s="203"/>
      <c r="D34" s="204"/>
      <c r="E34" s="204"/>
      <c r="F34" s="204">
        <f>IF(A34&lt;=$N$2,$N$4*(180/360)*(SUM(D34:$D$89)),"")</f>
        <v>82320.363338236333</v>
      </c>
      <c r="G34" s="204"/>
      <c r="H34" s="204">
        <f t="shared" si="8"/>
        <v>82320.363338236333</v>
      </c>
      <c r="I34" s="204"/>
      <c r="J34" s="204">
        <f>IF(A34&lt;=$N$2,($N$3-(SUM($D$9:D33)))*$J$6,"")</f>
        <v>6174.0272503677288</v>
      </c>
      <c r="K34" s="204"/>
      <c r="L34" s="204"/>
      <c r="M34" s="204"/>
      <c r="N34" s="204">
        <f t="shared" si="3"/>
        <v>88494.390588604059</v>
      </c>
      <c r="O34" s="205"/>
      <c r="P34" s="203"/>
      <c r="Q34" s="206">
        <f t="shared" si="4"/>
        <v>2030</v>
      </c>
      <c r="R34" s="207">
        <f>U34-S34</f>
        <v>338803.59898832813</v>
      </c>
      <c r="S34" s="207">
        <f>T34*$N$4</f>
        <v>164640.72667647284</v>
      </c>
      <c r="T34" s="207">
        <f>T33</f>
        <v>8232036.3338236418</v>
      </c>
      <c r="U34" s="207">
        <f t="shared" si="0"/>
        <v>503444.325664801</v>
      </c>
    </row>
    <row r="35" spans="1:21" x14ac:dyDescent="0.3">
      <c r="A35" s="179">
        <f t="shared" ref="A35" si="44">A34</f>
        <v>13</v>
      </c>
      <c r="B35" s="202">
        <f t="shared" si="1"/>
        <v>47498</v>
      </c>
      <c r="C35" s="203"/>
      <c r="D35" s="204">
        <f t="shared" ref="D35" si="45">IF(A35&lt;=$N$2,R34,"")</f>
        <v>338803.59898832813</v>
      </c>
      <c r="E35" s="204"/>
      <c r="F35" s="204">
        <f>IF(A35&lt;=$N$2,$N$4*(180/360)*(SUM(D35:$D$89)),"")</f>
        <v>82320.363338236333</v>
      </c>
      <c r="G35" s="204"/>
      <c r="H35" s="204">
        <f t="shared" si="8"/>
        <v>421123.96232656448</v>
      </c>
      <c r="I35" s="204"/>
      <c r="J35" s="204">
        <f>IF(A35&lt;=$N$2,($N$3-(SUM($D$9:D34)))*$J$6,"")</f>
        <v>6174.0272503677288</v>
      </c>
      <c r="K35" s="204"/>
      <c r="L35" s="204"/>
      <c r="M35" s="204"/>
      <c r="N35" s="204">
        <f t="shared" si="3"/>
        <v>427297.98957693222</v>
      </c>
      <c r="O35" s="205"/>
      <c r="P35" s="204">
        <f t="shared" ref="P35" si="46">IF(A35&lt;=$N$2,ROUND(N34+N35,-3),"")</f>
        <v>516000</v>
      </c>
      <c r="Q35" s="206">
        <f t="shared" si="4"/>
        <v>2030</v>
      </c>
      <c r="R35" s="207"/>
      <c r="S35" s="207"/>
      <c r="T35" s="207">
        <f>T34-R34</f>
        <v>7893232.7348353136</v>
      </c>
      <c r="U35" s="207">
        <f t="shared" si="0"/>
        <v>503444.325664801</v>
      </c>
    </row>
    <row r="36" spans="1:21" x14ac:dyDescent="0.3">
      <c r="A36" s="179">
        <f t="shared" ref="A36" si="47">A35+1</f>
        <v>14</v>
      </c>
      <c r="B36" s="197">
        <f t="shared" si="1"/>
        <v>47679</v>
      </c>
      <c r="D36" s="208"/>
      <c r="E36" s="209"/>
      <c r="F36" s="209">
        <f>IF(A36&lt;=$N$2,$N$4*(180/360)*(SUM(D36:$D$89)),"")</f>
        <v>78932.32734835305</v>
      </c>
      <c r="G36" s="209"/>
      <c r="H36" s="209">
        <f t="shared" si="8"/>
        <v>78932.32734835305</v>
      </c>
      <c r="I36" s="209"/>
      <c r="J36" s="209">
        <f>IF(A36&lt;=$N$2,($N$3-(SUM($D$9:D35)))*$J$6,"")</f>
        <v>5919.9245511264826</v>
      </c>
      <c r="K36" s="209"/>
      <c r="L36" s="209"/>
      <c r="M36" s="209"/>
      <c r="N36" s="209">
        <f t="shared" si="3"/>
        <v>84852.251899479539</v>
      </c>
      <c r="O36" s="200"/>
      <c r="Q36" s="186">
        <f t="shared" si="4"/>
        <v>2031</v>
      </c>
      <c r="R36" s="209">
        <f>U36-S36</f>
        <v>345579.67096809472</v>
      </c>
      <c r="S36" s="209">
        <f>T36*$N$4</f>
        <v>157864.65469670627</v>
      </c>
      <c r="T36" s="209">
        <f>T35</f>
        <v>7893232.7348353136</v>
      </c>
      <c r="U36" s="209">
        <f t="shared" si="0"/>
        <v>503444.325664801</v>
      </c>
    </row>
    <row r="37" spans="1:21" x14ac:dyDescent="0.3">
      <c r="A37" s="179">
        <f t="shared" ref="A37" si="48">A36</f>
        <v>14</v>
      </c>
      <c r="B37" s="197">
        <f t="shared" si="1"/>
        <v>47863</v>
      </c>
      <c r="D37" s="208">
        <f t="shared" ref="D37" si="49">IF(A37&lt;=$N$2,R36,"")</f>
        <v>345579.67096809472</v>
      </c>
      <c r="E37" s="209"/>
      <c r="F37" s="209">
        <f>IF(A37&lt;=$N$2,$N$4*(180/360)*(SUM(D37:$D$89)),"")</f>
        <v>78932.32734835305</v>
      </c>
      <c r="G37" s="209"/>
      <c r="H37" s="209">
        <f t="shared" si="8"/>
        <v>424511.99831644777</v>
      </c>
      <c r="I37" s="209"/>
      <c r="J37" s="209">
        <f>IF(A37&lt;=$N$2,($N$3-(SUM($D$9:D36)))*$J$6,"")</f>
        <v>5919.9245511264826</v>
      </c>
      <c r="K37" s="209"/>
      <c r="L37" s="209"/>
      <c r="M37" s="209"/>
      <c r="N37" s="209">
        <f t="shared" si="3"/>
        <v>430431.92286757426</v>
      </c>
      <c r="O37" s="200"/>
      <c r="P37" s="209">
        <f t="shared" ref="P37" si="50">IF(A37&lt;=$N$2,ROUND(N36+N37,-3),"")</f>
        <v>515000</v>
      </c>
      <c r="Q37" s="210">
        <f t="shared" si="4"/>
        <v>2031</v>
      </c>
      <c r="R37" s="209"/>
      <c r="S37" s="209"/>
      <c r="T37" s="209">
        <f>T36-R36</f>
        <v>7547653.0638672188</v>
      </c>
      <c r="U37" s="209">
        <f t="shared" si="0"/>
        <v>503444.325664801</v>
      </c>
    </row>
    <row r="38" spans="1:21" x14ac:dyDescent="0.3">
      <c r="A38" s="179">
        <f t="shared" ref="A38" si="51">A37+1</f>
        <v>15</v>
      </c>
      <c r="B38" s="202">
        <f t="shared" si="1"/>
        <v>48044</v>
      </c>
      <c r="C38" s="203"/>
      <c r="D38" s="204"/>
      <c r="E38" s="204"/>
      <c r="F38" s="204">
        <f>IF(A38&lt;=$N$2,$N$4*(180/360)*(SUM(D38:$D$89)),"")</f>
        <v>75476.530638672106</v>
      </c>
      <c r="G38" s="204"/>
      <c r="H38" s="204">
        <f t="shared" si="8"/>
        <v>75476.530638672106</v>
      </c>
      <c r="I38" s="204"/>
      <c r="J38" s="204">
        <f>IF(A38&lt;=$N$2,($N$3-(SUM($D$9:D37)))*$J$6,"")</f>
        <v>5660.7397979004118</v>
      </c>
      <c r="K38" s="204"/>
      <c r="L38" s="204"/>
      <c r="M38" s="204"/>
      <c r="N38" s="204">
        <f t="shared" si="3"/>
        <v>81137.270436572522</v>
      </c>
      <c r="O38" s="205"/>
      <c r="P38" s="203"/>
      <c r="Q38" s="206">
        <f t="shared" si="4"/>
        <v>2032</v>
      </c>
      <c r="R38" s="207">
        <f>U38-S38</f>
        <v>352491.26438745658</v>
      </c>
      <c r="S38" s="207">
        <f>T38*$N$4</f>
        <v>150953.06127734439</v>
      </c>
      <c r="T38" s="207">
        <f>T37</f>
        <v>7547653.0638672188</v>
      </c>
      <c r="U38" s="207">
        <f t="shared" si="0"/>
        <v>503444.325664801</v>
      </c>
    </row>
    <row r="39" spans="1:21" x14ac:dyDescent="0.3">
      <c r="A39" s="179">
        <f t="shared" ref="A39" si="52">A38</f>
        <v>15</v>
      </c>
      <c r="B39" s="202">
        <f t="shared" si="1"/>
        <v>48228</v>
      </c>
      <c r="C39" s="203"/>
      <c r="D39" s="204">
        <f t="shared" ref="D39" si="53">IF(A39&lt;=$N$2,R38,"")</f>
        <v>352491.26438745658</v>
      </c>
      <c r="E39" s="204"/>
      <c r="F39" s="204">
        <f>IF(A39&lt;=$N$2,$N$4*(180/360)*(SUM(D39:$D$89)),"")</f>
        <v>75476.530638672106</v>
      </c>
      <c r="G39" s="204"/>
      <c r="H39" s="204">
        <f t="shared" si="8"/>
        <v>427967.7950261287</v>
      </c>
      <c r="I39" s="204"/>
      <c r="J39" s="204">
        <f>IF(A39&lt;=$N$2,($N$3-(SUM($D$9:D38)))*$J$6,"")</f>
        <v>5660.7397979004118</v>
      </c>
      <c r="K39" s="204"/>
      <c r="L39" s="204"/>
      <c r="M39" s="204"/>
      <c r="N39" s="204">
        <f t="shared" si="3"/>
        <v>433628.53482402914</v>
      </c>
      <c r="O39" s="205"/>
      <c r="P39" s="204">
        <f t="shared" ref="P39" si="54">IF(A39&lt;=$N$2,ROUND(N38+N39,-3),"")</f>
        <v>515000</v>
      </c>
      <c r="Q39" s="206">
        <f t="shared" si="4"/>
        <v>2032</v>
      </c>
      <c r="R39" s="207"/>
      <c r="S39" s="207"/>
      <c r="T39" s="207">
        <f>T38-R38</f>
        <v>7195161.7994797621</v>
      </c>
      <c r="U39" s="207">
        <f t="shared" si="0"/>
        <v>503444.325664801</v>
      </c>
    </row>
    <row r="40" spans="1:21" x14ac:dyDescent="0.3">
      <c r="A40" s="179">
        <f t="shared" ref="A40" si="55">A39+1</f>
        <v>16</v>
      </c>
      <c r="B40" s="197">
        <f t="shared" si="1"/>
        <v>48410</v>
      </c>
      <c r="D40" s="208"/>
      <c r="E40" s="209"/>
      <c r="F40" s="209">
        <f>IF(A40&lt;=$N$2,$N$4*(180/360)*(SUM(D40:$D$89)),"")</f>
        <v>71951.617994797532</v>
      </c>
      <c r="G40" s="209"/>
      <c r="H40" s="209">
        <f t="shared" si="8"/>
        <v>71951.617994797532</v>
      </c>
      <c r="I40" s="209"/>
      <c r="J40" s="209">
        <f>IF(A40&lt;=$N$2,($N$3-(SUM($D$9:D39)))*$J$6,"")</f>
        <v>5396.3713496098189</v>
      </c>
      <c r="K40" s="209"/>
      <c r="L40" s="209"/>
      <c r="M40" s="209"/>
      <c r="N40" s="209">
        <f t="shared" si="3"/>
        <v>77347.989344407353</v>
      </c>
      <c r="O40" s="200"/>
      <c r="Q40" s="186">
        <f t="shared" si="4"/>
        <v>2033</v>
      </c>
      <c r="R40" s="209">
        <f>U40-S40</f>
        <v>359541.08967520576</v>
      </c>
      <c r="S40" s="209">
        <f>T40*$N$4</f>
        <v>143903.23598959524</v>
      </c>
      <c r="T40" s="209">
        <f>T39</f>
        <v>7195161.7994797621</v>
      </c>
      <c r="U40" s="209">
        <f t="shared" si="0"/>
        <v>503444.325664801</v>
      </c>
    </row>
    <row r="41" spans="1:21" x14ac:dyDescent="0.3">
      <c r="A41" s="179">
        <f t="shared" ref="A41" si="56">A40</f>
        <v>16</v>
      </c>
      <c r="B41" s="197">
        <f t="shared" si="1"/>
        <v>48594</v>
      </c>
      <c r="D41" s="208">
        <f t="shared" ref="D41" si="57">IF(A41&lt;=$N$2,R40,"")</f>
        <v>359541.08967520576</v>
      </c>
      <c r="E41" s="209"/>
      <c r="F41" s="209">
        <f>IF(A41&lt;=$N$2,$N$4*(180/360)*(SUM(D41:$D$89)),"")</f>
        <v>71951.617994797532</v>
      </c>
      <c r="G41" s="209"/>
      <c r="H41" s="209">
        <f t="shared" si="8"/>
        <v>431492.70767000329</v>
      </c>
      <c r="I41" s="209"/>
      <c r="J41" s="209">
        <f>IF(A41&lt;=$N$2,($N$3-(SUM($D$9:D40)))*$J$6,"")</f>
        <v>5396.3713496098189</v>
      </c>
      <c r="K41" s="209"/>
      <c r="L41" s="209"/>
      <c r="M41" s="209"/>
      <c r="N41" s="209">
        <f t="shared" si="3"/>
        <v>436889.0790196131</v>
      </c>
      <c r="O41" s="200"/>
      <c r="P41" s="209">
        <f t="shared" ref="P41" si="58">IF(A41&lt;=$N$2,ROUND(N40+N41,-3),"")</f>
        <v>514000</v>
      </c>
      <c r="Q41" s="210">
        <f t="shared" si="4"/>
        <v>2033</v>
      </c>
      <c r="R41" s="209"/>
      <c r="S41" s="209"/>
      <c r="T41" s="209">
        <f>T40-R40</f>
        <v>6835620.7098045563</v>
      </c>
      <c r="U41" s="209">
        <f t="shared" si="0"/>
        <v>503444.325664801</v>
      </c>
    </row>
    <row r="42" spans="1:21" x14ac:dyDescent="0.3">
      <c r="A42" s="179">
        <f t="shared" ref="A42" si="59">A41+1</f>
        <v>17</v>
      </c>
      <c r="B42" s="202">
        <f t="shared" si="1"/>
        <v>48775</v>
      </c>
      <c r="C42" s="203"/>
      <c r="D42" s="204"/>
      <c r="E42" s="204"/>
      <c r="F42" s="204">
        <f>IF(A42&lt;=$N$2,$N$4*(180/360)*(SUM(D42:$D$89)),"")</f>
        <v>68356.207098045488</v>
      </c>
      <c r="G42" s="204"/>
      <c r="H42" s="204">
        <f t="shared" si="8"/>
        <v>68356.207098045488</v>
      </c>
      <c r="I42" s="204"/>
      <c r="J42" s="204">
        <f>IF(A42&lt;=$N$2,($N$3-(SUM($D$9:D41)))*$J$6,"")</f>
        <v>5126.7155323534143</v>
      </c>
      <c r="K42" s="204"/>
      <c r="L42" s="204"/>
      <c r="M42" s="204"/>
      <c r="N42" s="204">
        <f t="shared" si="3"/>
        <v>73482.922630398898</v>
      </c>
      <c r="O42" s="205"/>
      <c r="P42" s="203"/>
      <c r="Q42" s="206">
        <f t="shared" si="4"/>
        <v>2034</v>
      </c>
      <c r="R42" s="207">
        <f>U42-S42</f>
        <v>366731.91146870988</v>
      </c>
      <c r="S42" s="207">
        <f>T42*$N$4</f>
        <v>136712.41419609112</v>
      </c>
      <c r="T42" s="207">
        <f>T41</f>
        <v>6835620.7098045563</v>
      </c>
      <c r="U42" s="207">
        <f t="shared" si="0"/>
        <v>503444.325664801</v>
      </c>
    </row>
    <row r="43" spans="1:21" x14ac:dyDescent="0.3">
      <c r="A43" s="179">
        <f t="shared" ref="A43" si="60">A42</f>
        <v>17</v>
      </c>
      <c r="B43" s="202">
        <f t="shared" si="1"/>
        <v>48959</v>
      </c>
      <c r="C43" s="203"/>
      <c r="D43" s="204">
        <f t="shared" ref="D43" si="61">IF(A43&lt;=$N$2,R42,"")</f>
        <v>366731.91146870988</v>
      </c>
      <c r="E43" s="204"/>
      <c r="F43" s="204">
        <f>IF(A43&lt;=$N$2,$N$4*(180/360)*(SUM(D43:$D$89)),"")</f>
        <v>68356.207098045488</v>
      </c>
      <c r="G43" s="204"/>
      <c r="H43" s="204">
        <f t="shared" si="8"/>
        <v>435088.11856675538</v>
      </c>
      <c r="I43" s="204"/>
      <c r="J43" s="204">
        <f>IF(A43&lt;=$N$2,($N$3-(SUM($D$9:D42)))*$J$6,"")</f>
        <v>5126.7155323534143</v>
      </c>
      <c r="K43" s="204"/>
      <c r="L43" s="204"/>
      <c r="M43" s="204"/>
      <c r="N43" s="204">
        <f t="shared" si="3"/>
        <v>440214.83409910882</v>
      </c>
      <c r="O43" s="205"/>
      <c r="P43" s="204">
        <f t="shared" ref="P43" si="62">IF(A43&lt;=$N$2,ROUND(N42+N43,-3),"")</f>
        <v>514000</v>
      </c>
      <c r="Q43" s="206">
        <f t="shared" si="4"/>
        <v>2034</v>
      </c>
      <c r="R43" s="207"/>
      <c r="S43" s="207"/>
      <c r="T43" s="207">
        <f>T42-R42</f>
        <v>6468888.7983358465</v>
      </c>
      <c r="U43" s="207">
        <f t="shared" si="0"/>
        <v>503444.325664801</v>
      </c>
    </row>
    <row r="44" spans="1:21" x14ac:dyDescent="0.3">
      <c r="A44" s="179">
        <f t="shared" ref="A44" si="63">A43+1</f>
        <v>18</v>
      </c>
      <c r="B44" s="197">
        <f t="shared" si="1"/>
        <v>49140</v>
      </c>
      <c r="D44" s="208"/>
      <c r="E44" s="209"/>
      <c r="F44" s="209">
        <f>IF(A44&lt;=$N$2,$N$4*(180/360)*(SUM(D44:$D$89)),"")</f>
        <v>64688.887983358385</v>
      </c>
      <c r="G44" s="209"/>
      <c r="H44" s="209">
        <f t="shared" si="8"/>
        <v>64688.887983358385</v>
      </c>
      <c r="I44" s="209"/>
      <c r="J44" s="209">
        <f>IF(A44&lt;=$N$2,($N$3-(SUM($D$9:D43)))*$J$6,"")</f>
        <v>4851.6665987518818</v>
      </c>
      <c r="K44" s="209"/>
      <c r="L44" s="209"/>
      <c r="M44" s="209"/>
      <c r="N44" s="209">
        <f t="shared" si="3"/>
        <v>69540.554582110271</v>
      </c>
      <c r="O44" s="200"/>
      <c r="Q44" s="186">
        <f t="shared" si="4"/>
        <v>2035</v>
      </c>
      <c r="R44" s="209">
        <f>U44-S44</f>
        <v>374066.54969808407</v>
      </c>
      <c r="S44" s="209">
        <f>T44*$N$4</f>
        <v>129377.77596671693</v>
      </c>
      <c r="T44" s="209">
        <f>T43</f>
        <v>6468888.7983358465</v>
      </c>
      <c r="U44" s="209">
        <f t="shared" si="0"/>
        <v>503444.325664801</v>
      </c>
    </row>
    <row r="45" spans="1:21" x14ac:dyDescent="0.3">
      <c r="A45" s="179">
        <f t="shared" ref="A45" si="64">A44</f>
        <v>18</v>
      </c>
      <c r="B45" s="197">
        <f t="shared" si="1"/>
        <v>49324</v>
      </c>
      <c r="D45" s="208">
        <f t="shared" ref="D45" si="65">IF(A45&lt;=$N$2,R44,"")</f>
        <v>374066.54969808407</v>
      </c>
      <c r="E45" s="209"/>
      <c r="F45" s="209">
        <f>IF(A45&lt;=$N$2,$N$4*(180/360)*(SUM(D45:$D$89)),"")</f>
        <v>64688.887983358385</v>
      </c>
      <c r="G45" s="209"/>
      <c r="H45" s="209">
        <f t="shared" si="8"/>
        <v>438755.43768144248</v>
      </c>
      <c r="I45" s="209"/>
      <c r="J45" s="209">
        <f>IF(A45&lt;=$N$2,($N$3-(SUM($D$9:D44)))*$J$6,"")</f>
        <v>4851.6665987518818</v>
      </c>
      <c r="K45" s="209"/>
      <c r="L45" s="209"/>
      <c r="M45" s="209"/>
      <c r="N45" s="209">
        <f t="shared" si="3"/>
        <v>443607.10428019438</v>
      </c>
      <c r="O45" s="200"/>
      <c r="P45" s="209">
        <f t="shared" ref="P45" si="66">IF(A45&lt;=$N$2,ROUND(N44+N45,-3),"")</f>
        <v>513000</v>
      </c>
      <c r="Q45" s="210">
        <f t="shared" si="4"/>
        <v>2035</v>
      </c>
      <c r="R45" s="209"/>
      <c r="S45" s="209"/>
      <c r="T45" s="209">
        <f>T44-R44</f>
        <v>6094822.2486377629</v>
      </c>
      <c r="U45" s="209">
        <f t="shared" si="0"/>
        <v>503444.325664801</v>
      </c>
    </row>
    <row r="46" spans="1:21" x14ac:dyDescent="0.3">
      <c r="A46" s="179">
        <f t="shared" ref="A46:A50" si="67">A45+1</f>
        <v>19</v>
      </c>
      <c r="B46" s="202">
        <f t="shared" si="1"/>
        <v>49505</v>
      </c>
      <c r="C46" s="203"/>
      <c r="D46" s="204"/>
      <c r="E46" s="204"/>
      <c r="F46" s="204">
        <f>IF(A46&lt;=$N$2,$N$4*(180/360)*(SUM(D46:$D$89)),"")</f>
        <v>60948.222486377548</v>
      </c>
      <c r="G46" s="204"/>
      <c r="H46" s="204">
        <f t="shared" si="8"/>
        <v>60948.222486377548</v>
      </c>
      <c r="I46" s="204"/>
      <c r="J46" s="204">
        <f>IF(A46&lt;=$N$2,($N$3-(SUM($D$9:D45)))*$J$6,"")</f>
        <v>4571.116686478319</v>
      </c>
      <c r="K46" s="204"/>
      <c r="L46" s="204"/>
      <c r="M46" s="204"/>
      <c r="N46" s="204">
        <f t="shared" si="3"/>
        <v>65519.339172855864</v>
      </c>
      <c r="O46" s="205"/>
      <c r="P46" s="203"/>
      <c r="Q46" s="206">
        <f t="shared" si="4"/>
        <v>2036</v>
      </c>
      <c r="R46" s="207">
        <f>U46-S46</f>
        <v>381547.88069204573</v>
      </c>
      <c r="S46" s="207">
        <f>T46*$N$4</f>
        <v>121896.44497275526</v>
      </c>
      <c r="T46" s="207">
        <f>T45</f>
        <v>6094822.2486377629</v>
      </c>
      <c r="U46" s="207">
        <f t="shared" si="0"/>
        <v>503444.325664801</v>
      </c>
    </row>
    <row r="47" spans="1:21" x14ac:dyDescent="0.3">
      <c r="A47" s="179">
        <f t="shared" ref="A47:A51" si="68">A46</f>
        <v>19</v>
      </c>
      <c r="B47" s="202">
        <f t="shared" si="1"/>
        <v>49689</v>
      </c>
      <c r="C47" s="203"/>
      <c r="D47" s="204">
        <f t="shared" ref="D47" si="69">IF(A47&lt;=$N$2,R46,"")</f>
        <v>381547.88069204573</v>
      </c>
      <c r="E47" s="204"/>
      <c r="F47" s="204">
        <f>IF(A47&lt;=$N$2,$N$4*(180/360)*(SUM(D47:$D$89)),"")</f>
        <v>60948.222486377548</v>
      </c>
      <c r="G47" s="204"/>
      <c r="H47" s="204">
        <f t="shared" si="8"/>
        <v>442496.10317842325</v>
      </c>
      <c r="I47" s="204"/>
      <c r="J47" s="204">
        <f>IF(A47&lt;=$N$2,($N$3-(SUM($D$9:D46)))*$J$6,"")</f>
        <v>4571.116686478319</v>
      </c>
      <c r="K47" s="204"/>
      <c r="L47" s="204"/>
      <c r="M47" s="204"/>
      <c r="N47" s="204">
        <f t="shared" si="3"/>
        <v>447067.21986490156</v>
      </c>
      <c r="O47" s="205"/>
      <c r="P47" s="204">
        <f t="shared" ref="P47" si="70">IF(A47&lt;=$N$2,ROUND(N46+N47,-3),"")</f>
        <v>513000</v>
      </c>
      <c r="Q47" s="206">
        <f t="shared" si="4"/>
        <v>2036</v>
      </c>
      <c r="R47" s="207"/>
      <c r="S47" s="207"/>
      <c r="T47" s="207">
        <f>T46-R46</f>
        <v>5713274.3679457167</v>
      </c>
      <c r="U47" s="207">
        <f t="shared" si="0"/>
        <v>503444.325664801</v>
      </c>
    </row>
    <row r="48" spans="1:21" x14ac:dyDescent="0.3">
      <c r="A48" s="179">
        <f t="shared" ref="A48" si="71">A47+1</f>
        <v>20</v>
      </c>
      <c r="B48" s="197">
        <f t="shared" si="1"/>
        <v>49871</v>
      </c>
      <c r="D48" s="208"/>
      <c r="E48" s="209"/>
      <c r="F48" s="209">
        <f>IF(A48&lt;=$N$2,$N$4*(180/360)*(SUM(D48:$D$89)),"")</f>
        <v>57132.743679457082</v>
      </c>
      <c r="G48" s="209"/>
      <c r="H48" s="209">
        <f t="shared" si="8"/>
        <v>57132.743679457082</v>
      </c>
      <c r="I48" s="209"/>
      <c r="J48" s="209">
        <f>IF(A48&lt;=$N$2,($N$3-(SUM($D$9:D47)))*$J$6,"")</f>
        <v>4284.9557759592844</v>
      </c>
      <c r="K48" s="209"/>
      <c r="L48" s="209"/>
      <c r="M48" s="209"/>
      <c r="N48" s="209">
        <f t="shared" si="3"/>
        <v>61417.699455416368</v>
      </c>
      <c r="O48" s="200"/>
      <c r="Q48" s="186">
        <f t="shared" si="4"/>
        <v>2037</v>
      </c>
      <c r="R48" s="209">
        <f>U48-S48</f>
        <v>389178.83830588666</v>
      </c>
      <c r="S48" s="209">
        <f>T48*$N$4</f>
        <v>114265.48735891434</v>
      </c>
      <c r="T48" s="209">
        <f>T47</f>
        <v>5713274.3679457167</v>
      </c>
      <c r="U48" s="209">
        <f t="shared" si="0"/>
        <v>503444.325664801</v>
      </c>
    </row>
    <row r="49" spans="1:21" x14ac:dyDescent="0.3">
      <c r="A49" s="179">
        <f t="shared" ref="A49" si="72">A48</f>
        <v>20</v>
      </c>
      <c r="B49" s="197">
        <f t="shared" si="1"/>
        <v>50055</v>
      </c>
      <c r="D49" s="208">
        <f t="shared" ref="D49" si="73">IF(A49&lt;=$N$2,R48,"")</f>
        <v>389178.83830588666</v>
      </c>
      <c r="E49" s="209"/>
      <c r="F49" s="209">
        <f>IF(A49&lt;=$N$2,$N$4*(180/360)*(SUM(D49:$D$89)),"")</f>
        <v>57132.743679457082</v>
      </c>
      <c r="G49" s="209"/>
      <c r="H49" s="209">
        <f t="shared" si="8"/>
        <v>446311.58198534371</v>
      </c>
      <c r="I49" s="209"/>
      <c r="J49" s="209">
        <f>IF(A49&lt;=$N$2,($N$3-(SUM($D$9:D48)))*$J$6,"")</f>
        <v>4284.9557759592844</v>
      </c>
      <c r="K49" s="209"/>
      <c r="L49" s="209"/>
      <c r="M49" s="209"/>
      <c r="N49" s="209">
        <f t="shared" si="3"/>
        <v>450596.53776130301</v>
      </c>
      <c r="O49" s="200"/>
      <c r="P49" s="209">
        <f t="shared" ref="P49" si="74">IF(A49&lt;=$N$2,ROUND(N48+N49,-3),"")</f>
        <v>512000</v>
      </c>
      <c r="Q49" s="210">
        <f t="shared" si="4"/>
        <v>2037</v>
      </c>
      <c r="R49" s="209"/>
      <c r="S49" s="209"/>
      <c r="T49" s="209">
        <f>T48-R48</f>
        <v>5324095.5296398299</v>
      </c>
      <c r="U49" s="209">
        <f t="shared" si="0"/>
        <v>503444.325664801</v>
      </c>
    </row>
    <row r="50" spans="1:21" x14ac:dyDescent="0.3">
      <c r="A50" s="179">
        <f t="shared" si="67"/>
        <v>21</v>
      </c>
      <c r="B50" s="202">
        <f t="shared" si="1"/>
        <v>50236</v>
      </c>
      <c r="C50" s="203"/>
      <c r="D50" s="204"/>
      <c r="E50" s="204"/>
      <c r="F50" s="204">
        <f>IF(A50&lt;=$N$2,$N$4*(180/360)*(SUM(D50:$D$89)),"")</f>
        <v>53240.955296398228</v>
      </c>
      <c r="G50" s="204"/>
      <c r="H50" s="204">
        <f t="shared" si="8"/>
        <v>53240.955296398228</v>
      </c>
      <c r="I50" s="204"/>
      <c r="J50" s="204">
        <f>IF(A50&lt;=$N$2,($N$3-(SUM($D$9:D49)))*$J$6,"")</f>
        <v>3993.0716472298695</v>
      </c>
      <c r="K50" s="204"/>
      <c r="L50" s="204"/>
      <c r="M50" s="204"/>
      <c r="N50" s="204">
        <f t="shared" si="3"/>
        <v>57234.026943628094</v>
      </c>
      <c r="O50" s="205"/>
      <c r="P50" s="203"/>
      <c r="Q50" s="206">
        <f t="shared" si="4"/>
        <v>2038</v>
      </c>
      <c r="R50" s="207">
        <f t="shared" ref="R50" si="75">U50-S50</f>
        <v>396962.41507200443</v>
      </c>
      <c r="S50" s="207">
        <f t="shared" ref="S50" si="76">T50*$N$4</f>
        <v>106481.9105927966</v>
      </c>
      <c r="T50" s="207">
        <f t="shared" ref="T50" si="77">T49</f>
        <v>5324095.5296398299</v>
      </c>
      <c r="U50" s="207">
        <f t="shared" si="0"/>
        <v>503444.325664801</v>
      </c>
    </row>
    <row r="51" spans="1:21" x14ac:dyDescent="0.3">
      <c r="A51" s="179">
        <f t="shared" si="68"/>
        <v>21</v>
      </c>
      <c r="B51" s="202">
        <f t="shared" si="1"/>
        <v>50420</v>
      </c>
      <c r="C51" s="203"/>
      <c r="D51" s="204">
        <f t="shared" ref="D51" si="78">IF(A51&lt;=$N$2,R50,"")</f>
        <v>396962.41507200443</v>
      </c>
      <c r="E51" s="204"/>
      <c r="F51" s="204">
        <f>IF(A51&lt;=$N$2,$N$4*(180/360)*(SUM(D51:$D$89)),"")</f>
        <v>53240.955296398228</v>
      </c>
      <c r="G51" s="204"/>
      <c r="H51" s="204">
        <f t="shared" si="8"/>
        <v>450203.37036840268</v>
      </c>
      <c r="I51" s="204"/>
      <c r="J51" s="204">
        <f>IF(A51&lt;=$N$2,($N$3-(SUM($D$9:D50)))*$J$6,"")</f>
        <v>3993.0716472298695</v>
      </c>
      <c r="K51" s="204"/>
      <c r="L51" s="204"/>
      <c r="M51" s="204"/>
      <c r="N51" s="204">
        <f t="shared" si="3"/>
        <v>454196.44201563258</v>
      </c>
      <c r="O51" s="205"/>
      <c r="P51" s="204">
        <f t="shared" ref="P51" si="79">IF(A51&lt;=$N$2,ROUND(N50+N51,-3),"")</f>
        <v>511000</v>
      </c>
      <c r="Q51" s="206">
        <f t="shared" si="4"/>
        <v>2038</v>
      </c>
      <c r="R51" s="207"/>
      <c r="S51" s="207"/>
      <c r="T51" s="207">
        <f t="shared" ref="T51" si="80">T50-R50</f>
        <v>4927133.1145678256</v>
      </c>
      <c r="U51" s="207">
        <f t="shared" si="0"/>
        <v>503444.325664801</v>
      </c>
    </row>
    <row r="52" spans="1:21" x14ac:dyDescent="0.3">
      <c r="A52" s="179">
        <f t="shared" ref="A52" si="81">A51+1</f>
        <v>22</v>
      </c>
      <c r="B52" s="197">
        <f t="shared" si="1"/>
        <v>50601</v>
      </c>
      <c r="D52" s="208"/>
      <c r="E52" s="209"/>
      <c r="F52" s="209">
        <f>IF(A52&lt;=$N$2,$N$4*(180/360)*(SUM(D52:$D$89)),"")</f>
        <v>49271.331145678174</v>
      </c>
      <c r="G52" s="209"/>
      <c r="H52" s="209">
        <f t="shared" si="8"/>
        <v>49271.331145678174</v>
      </c>
      <c r="I52" s="209"/>
      <c r="J52" s="209">
        <f>IF(A52&lt;=$N$2,($N$3-(SUM($D$9:D51)))*$J$6,"")</f>
        <v>3695.3498359258665</v>
      </c>
      <c r="K52" s="209"/>
      <c r="L52" s="209"/>
      <c r="M52" s="209"/>
      <c r="N52" s="209">
        <f t="shared" si="3"/>
        <v>52966.68098160404</v>
      </c>
      <c r="O52" s="200"/>
      <c r="Q52" s="186">
        <f t="shared" si="4"/>
        <v>2039</v>
      </c>
      <c r="R52" s="209">
        <f t="shared" ref="R52" si="82">U52-S52</f>
        <v>404901.66337344446</v>
      </c>
      <c r="S52" s="209">
        <f t="shared" ref="S52" si="83">T52*$N$4</f>
        <v>98542.662291356508</v>
      </c>
      <c r="T52" s="209">
        <f t="shared" ref="T52" si="84">T51</f>
        <v>4927133.1145678256</v>
      </c>
      <c r="U52" s="209">
        <f t="shared" si="0"/>
        <v>503444.325664801</v>
      </c>
    </row>
    <row r="53" spans="1:21" x14ac:dyDescent="0.3">
      <c r="A53" s="179">
        <f t="shared" ref="A53" si="85">A52</f>
        <v>22</v>
      </c>
      <c r="B53" s="197">
        <f t="shared" si="1"/>
        <v>50785</v>
      </c>
      <c r="D53" s="208">
        <f t="shared" ref="D53" si="86">IF(A53&lt;=$N$2,R52,"")</f>
        <v>404901.66337344446</v>
      </c>
      <c r="E53" s="209"/>
      <c r="F53" s="209">
        <f>IF(A53&lt;=$N$2,$N$4*(180/360)*(SUM(D53:$D$89)),"")</f>
        <v>49271.331145678174</v>
      </c>
      <c r="G53" s="209"/>
      <c r="H53" s="209">
        <f t="shared" si="8"/>
        <v>454172.99451912264</v>
      </c>
      <c r="I53" s="209"/>
      <c r="J53" s="209">
        <f>IF(A53&lt;=$N$2,($N$3-(SUM($D$9:D52)))*$J$6,"")</f>
        <v>3695.3498359258665</v>
      </c>
      <c r="K53" s="209"/>
      <c r="L53" s="209"/>
      <c r="M53" s="209"/>
      <c r="N53" s="209">
        <f t="shared" si="3"/>
        <v>457868.3443550485</v>
      </c>
      <c r="O53" s="200"/>
      <c r="P53" s="209">
        <f t="shared" ref="P53" si="87">IF(A53&lt;=$N$2,ROUND(N52+N53,-3),"")</f>
        <v>511000</v>
      </c>
      <c r="Q53" s="210">
        <f t="shared" si="4"/>
        <v>2039</v>
      </c>
      <c r="R53" s="209"/>
      <c r="S53" s="209"/>
      <c r="T53" s="209">
        <f t="shared" ref="T53" si="88">T52-R52</f>
        <v>4522231.4511943813</v>
      </c>
      <c r="U53" s="209">
        <f t="shared" si="0"/>
        <v>503444.325664801</v>
      </c>
    </row>
    <row r="54" spans="1:21" x14ac:dyDescent="0.3">
      <c r="A54" s="179">
        <f t="shared" ref="A54" si="89">A53+1</f>
        <v>23</v>
      </c>
      <c r="B54" s="202">
        <f t="shared" si="1"/>
        <v>50966</v>
      </c>
      <c r="C54" s="203"/>
      <c r="D54" s="204"/>
      <c r="E54" s="204"/>
      <c r="F54" s="204">
        <f>IF(A54&lt;=$N$2,$N$4*(180/360)*(SUM(D54:$D$89)),"")</f>
        <v>45222.314511943732</v>
      </c>
      <c r="G54" s="204"/>
      <c r="H54" s="204">
        <f t="shared" si="8"/>
        <v>45222.314511943732</v>
      </c>
      <c r="I54" s="204"/>
      <c r="J54" s="204">
        <f>IF(A54&lt;=$N$2,($N$3-(SUM($D$9:D53)))*$J$6,"")</f>
        <v>3391.6735883957831</v>
      </c>
      <c r="K54" s="204"/>
      <c r="L54" s="204"/>
      <c r="M54" s="204"/>
      <c r="N54" s="204">
        <f t="shared" si="3"/>
        <v>48613.988100339513</v>
      </c>
      <c r="O54" s="205"/>
      <c r="P54" s="203"/>
      <c r="Q54" s="206">
        <f t="shared" si="4"/>
        <v>2040</v>
      </c>
      <c r="R54" s="207">
        <f t="shared" ref="R54" si="90">U54-S54</f>
        <v>412999.69664091337</v>
      </c>
      <c r="S54" s="207">
        <f t="shared" ref="S54" si="91">T54*$N$4</f>
        <v>90444.629023887624</v>
      </c>
      <c r="T54" s="207">
        <f t="shared" ref="T54" si="92">T53</f>
        <v>4522231.4511943813</v>
      </c>
      <c r="U54" s="207">
        <f t="shared" si="0"/>
        <v>503444.325664801</v>
      </c>
    </row>
    <row r="55" spans="1:21" x14ac:dyDescent="0.3">
      <c r="A55" s="179">
        <f t="shared" ref="A55" si="93">A54</f>
        <v>23</v>
      </c>
      <c r="B55" s="202">
        <f t="shared" si="1"/>
        <v>51150</v>
      </c>
      <c r="C55" s="203"/>
      <c r="D55" s="204">
        <f t="shared" ref="D55" si="94">IF(A55&lt;=$N$2,R54,"")</f>
        <v>412999.69664091337</v>
      </c>
      <c r="E55" s="204"/>
      <c r="F55" s="204">
        <f>IF(A55&lt;=$N$2,$N$4*(180/360)*(SUM(D55:$D$89)),"")</f>
        <v>45222.314511943732</v>
      </c>
      <c r="G55" s="204"/>
      <c r="H55" s="204">
        <f t="shared" si="8"/>
        <v>458222.0111528571</v>
      </c>
      <c r="I55" s="204"/>
      <c r="J55" s="204">
        <f>IF(A55&lt;=$N$2,($N$3-(SUM($D$9:D54)))*$J$6,"")</f>
        <v>3391.6735883957831</v>
      </c>
      <c r="K55" s="204"/>
      <c r="L55" s="204"/>
      <c r="M55" s="204"/>
      <c r="N55" s="204">
        <f t="shared" si="3"/>
        <v>461613.68474125286</v>
      </c>
      <c r="O55" s="205"/>
      <c r="P55" s="204">
        <f t="shared" ref="P55" si="95">IF(A55&lt;=$N$2,ROUND(N54+N55,-3),"")</f>
        <v>510000</v>
      </c>
      <c r="Q55" s="206">
        <f t="shared" si="4"/>
        <v>2040</v>
      </c>
      <c r="R55" s="207"/>
      <c r="S55" s="207"/>
      <c r="T55" s="207">
        <f t="shared" ref="T55" si="96">T54-R54</f>
        <v>4109231.754553468</v>
      </c>
      <c r="U55" s="207">
        <f t="shared" si="0"/>
        <v>503444.325664801</v>
      </c>
    </row>
    <row r="56" spans="1:21" x14ac:dyDescent="0.3">
      <c r="A56" s="179">
        <f t="shared" ref="A56" si="97">A55+1</f>
        <v>24</v>
      </c>
      <c r="B56" s="197">
        <f t="shared" si="1"/>
        <v>51332</v>
      </c>
      <c r="D56" s="208"/>
      <c r="E56" s="209"/>
      <c r="F56" s="209">
        <f>IF(A56&lt;=$N$2,$N$4*(180/360)*(SUM(D56:$D$89)),"")</f>
        <v>41092.317545534599</v>
      </c>
      <c r="G56" s="209"/>
      <c r="H56" s="209">
        <f t="shared" si="8"/>
        <v>41092.317545534599</v>
      </c>
      <c r="I56" s="209"/>
      <c r="J56" s="209">
        <f>IF(A56&lt;=$N$2,($N$3-(SUM($D$9:D55)))*$J$6,"")</f>
        <v>3081.9238159150982</v>
      </c>
      <c r="K56" s="209"/>
      <c r="L56" s="209"/>
      <c r="M56" s="209"/>
      <c r="N56" s="209">
        <f t="shared" si="3"/>
        <v>44174.241361449698</v>
      </c>
      <c r="O56" s="200"/>
      <c r="Q56" s="186">
        <f t="shared" si="4"/>
        <v>2041</v>
      </c>
      <c r="R56" s="209">
        <f t="shared" ref="R56" si="98">U56-S56</f>
        <v>421259.69057373167</v>
      </c>
      <c r="S56" s="209">
        <f t="shared" ref="S56" si="99">T56*$N$4</f>
        <v>82184.635091069358</v>
      </c>
      <c r="T56" s="209">
        <f t="shared" ref="T56" si="100">T55</f>
        <v>4109231.754553468</v>
      </c>
      <c r="U56" s="209">
        <f t="shared" si="0"/>
        <v>503444.325664801</v>
      </c>
    </row>
    <row r="57" spans="1:21" x14ac:dyDescent="0.3">
      <c r="A57" s="179">
        <f t="shared" ref="A57" si="101">A56</f>
        <v>24</v>
      </c>
      <c r="B57" s="197">
        <f t="shared" si="1"/>
        <v>51516</v>
      </c>
      <c r="D57" s="208">
        <f t="shared" ref="D57" si="102">IF(A57&lt;=$N$2,R56,"")</f>
        <v>421259.69057373167</v>
      </c>
      <c r="E57" s="209"/>
      <c r="F57" s="209">
        <f>IF(A57&lt;=$N$2,$N$4*(180/360)*(SUM(D57:$D$89)),"")</f>
        <v>41092.317545534599</v>
      </c>
      <c r="G57" s="209"/>
      <c r="H57" s="209">
        <f t="shared" si="8"/>
        <v>462352.00811926625</v>
      </c>
      <c r="I57" s="209"/>
      <c r="J57" s="209">
        <f>IF(A57&lt;=$N$2,($N$3-(SUM($D$9:D56)))*$J$6,"")</f>
        <v>3081.9238159150982</v>
      </c>
      <c r="K57" s="209"/>
      <c r="L57" s="209"/>
      <c r="M57" s="209"/>
      <c r="N57" s="209">
        <f t="shared" si="3"/>
        <v>465433.93193518132</v>
      </c>
      <c r="O57" s="200"/>
      <c r="P57" s="209">
        <f t="shared" ref="P57" si="103">IF(A57&lt;=$N$2,ROUND(N56+N57,-3),"")</f>
        <v>510000</v>
      </c>
      <c r="Q57" s="210">
        <f t="shared" si="4"/>
        <v>2041</v>
      </c>
      <c r="R57" s="209"/>
      <c r="S57" s="209"/>
      <c r="T57" s="209">
        <f t="shared" ref="T57" si="104">T56-R56</f>
        <v>3687972.0639797365</v>
      </c>
      <c r="U57" s="209">
        <f t="shared" si="0"/>
        <v>503444.325664801</v>
      </c>
    </row>
    <row r="58" spans="1:21" x14ac:dyDescent="0.3">
      <c r="A58" s="179">
        <f t="shared" ref="A58" si="105">A57+1</f>
        <v>25</v>
      </c>
      <c r="B58" s="202">
        <f t="shared" si="1"/>
        <v>51697</v>
      </c>
      <c r="C58" s="203"/>
      <c r="D58" s="204"/>
      <c r="E58" s="204"/>
      <c r="F58" s="204">
        <f>IF(A58&lt;=$N$2,$N$4*(180/360)*(SUM(D58:$D$89)),"")</f>
        <v>36879.720639797284</v>
      </c>
      <c r="G58" s="204"/>
      <c r="H58" s="204">
        <f t="shared" si="8"/>
        <v>36879.720639797284</v>
      </c>
      <c r="I58" s="204"/>
      <c r="J58" s="204">
        <f>IF(A58&lt;=$N$2,($N$3-(SUM($D$9:D57)))*$J$6,"")</f>
        <v>2765.9790479847998</v>
      </c>
      <c r="K58" s="204"/>
      <c r="L58" s="204"/>
      <c r="M58" s="204"/>
      <c r="N58" s="204">
        <f t="shared" si="3"/>
        <v>39645.699687782086</v>
      </c>
      <c r="O58" s="205"/>
      <c r="P58" s="203"/>
      <c r="Q58" s="206">
        <f t="shared" si="4"/>
        <v>2042</v>
      </c>
      <c r="R58" s="207">
        <f t="shared" ref="R58" si="106">U58-S58</f>
        <v>429684.88438520627</v>
      </c>
      <c r="S58" s="207">
        <f t="shared" ref="S58" si="107">T58*$N$4</f>
        <v>73759.441279594728</v>
      </c>
      <c r="T58" s="207">
        <f t="shared" ref="T58" si="108">T57</f>
        <v>3687972.0639797365</v>
      </c>
      <c r="U58" s="207">
        <f t="shared" si="0"/>
        <v>503444.325664801</v>
      </c>
    </row>
    <row r="59" spans="1:21" x14ac:dyDescent="0.3">
      <c r="A59" s="179">
        <f t="shared" ref="A59" si="109">A58</f>
        <v>25</v>
      </c>
      <c r="B59" s="202">
        <f t="shared" si="1"/>
        <v>51881</v>
      </c>
      <c r="C59" s="203"/>
      <c r="D59" s="204">
        <f t="shared" ref="D59" si="110">IF(A59&lt;=$N$2,R58,"")</f>
        <v>429684.88438520627</v>
      </c>
      <c r="E59" s="204"/>
      <c r="F59" s="204">
        <f>IF(A59&lt;=$N$2,$N$4*(180/360)*(SUM(D59:$D$89)),"")</f>
        <v>36879.720639797284</v>
      </c>
      <c r="G59" s="204"/>
      <c r="H59" s="204">
        <f t="shared" si="8"/>
        <v>466564.60502500355</v>
      </c>
      <c r="I59" s="204"/>
      <c r="J59" s="204">
        <f>IF(A59&lt;=$N$2,($N$3-(SUM($D$9:D58)))*$J$6,"")</f>
        <v>2765.9790479847998</v>
      </c>
      <c r="K59" s="204"/>
      <c r="L59" s="204"/>
      <c r="M59" s="204"/>
      <c r="N59" s="204">
        <f t="shared" si="3"/>
        <v>469330.58407298836</v>
      </c>
      <c r="O59" s="205"/>
      <c r="P59" s="204">
        <f t="shared" ref="P59" si="111">IF(A59&lt;=$N$2,ROUND(N58+N59,-3),"")</f>
        <v>509000</v>
      </c>
      <c r="Q59" s="206">
        <f t="shared" si="4"/>
        <v>2042</v>
      </c>
      <c r="R59" s="207"/>
      <c r="S59" s="207"/>
      <c r="T59" s="207">
        <f t="shared" ref="T59" si="112">T58-R58</f>
        <v>3258287.1795945303</v>
      </c>
      <c r="U59" s="207">
        <f t="shared" si="0"/>
        <v>503444.325664801</v>
      </c>
    </row>
    <row r="60" spans="1:21" x14ac:dyDescent="0.3">
      <c r="A60" s="179">
        <f t="shared" ref="A60" si="113">A59+1</f>
        <v>26</v>
      </c>
      <c r="B60" s="197">
        <f t="shared" si="1"/>
        <v>52062</v>
      </c>
      <c r="D60" s="208"/>
      <c r="E60" s="209"/>
      <c r="F60" s="209">
        <f>IF(A60&lt;=$N$2,$N$4*(180/360)*(SUM(D60:$D$89)),"")</f>
        <v>32582.871795945222</v>
      </c>
      <c r="G60" s="209"/>
      <c r="H60" s="209">
        <f t="shared" si="8"/>
        <v>32582.871795945222</v>
      </c>
      <c r="I60" s="209"/>
      <c r="J60" s="209">
        <f>IF(A60&lt;=$N$2,($N$3-(SUM($D$9:D59)))*$J$6,"")</f>
        <v>2443.7153846958945</v>
      </c>
      <c r="K60" s="209"/>
      <c r="L60" s="209"/>
      <c r="M60" s="209"/>
      <c r="N60" s="209">
        <f t="shared" si="3"/>
        <v>35026.587180641116</v>
      </c>
      <c r="O60" s="200"/>
      <c r="Q60" s="186">
        <f t="shared" si="4"/>
        <v>2043</v>
      </c>
      <c r="R60" s="209">
        <f t="shared" ref="R60" si="114">U60-S60</f>
        <v>438278.58207291039</v>
      </c>
      <c r="S60" s="209">
        <f t="shared" ref="S60" si="115">T60*$N$4</f>
        <v>65165.743591890605</v>
      </c>
      <c r="T60" s="209">
        <f t="shared" ref="T60" si="116">T59</f>
        <v>3258287.1795945303</v>
      </c>
      <c r="U60" s="209">
        <f t="shared" si="0"/>
        <v>503444.325664801</v>
      </c>
    </row>
    <row r="61" spans="1:21" x14ac:dyDescent="0.3">
      <c r="A61" s="179">
        <f t="shared" ref="A61" si="117">A60</f>
        <v>26</v>
      </c>
      <c r="B61" s="197">
        <f t="shared" si="1"/>
        <v>52246</v>
      </c>
      <c r="D61" s="208">
        <f t="shared" ref="D61" si="118">IF(A61&lt;=$N$2,R60,"")</f>
        <v>438278.58207291039</v>
      </c>
      <c r="E61" s="209"/>
      <c r="F61" s="209">
        <f>IF(A61&lt;=$N$2,$N$4*(180/360)*(SUM(D61:$D$89)),"")</f>
        <v>32582.871795945222</v>
      </c>
      <c r="G61" s="209"/>
      <c r="H61" s="209">
        <f t="shared" si="8"/>
        <v>470861.45386885561</v>
      </c>
      <c r="I61" s="209"/>
      <c r="J61" s="209">
        <f>IF(A61&lt;=$N$2,($N$3-(SUM($D$9:D60)))*$J$6,"")</f>
        <v>2443.7153846958945</v>
      </c>
      <c r="K61" s="209"/>
      <c r="L61" s="209"/>
      <c r="M61" s="209"/>
      <c r="N61" s="209">
        <f t="shared" si="3"/>
        <v>473305.16925355152</v>
      </c>
      <c r="O61" s="200"/>
      <c r="P61" s="209">
        <f t="shared" ref="P61" si="119">IF(A61&lt;=$N$2,ROUND(N60+N61,-3),"")</f>
        <v>508000</v>
      </c>
      <c r="Q61" s="210">
        <f t="shared" si="4"/>
        <v>2043</v>
      </c>
      <c r="R61" s="209"/>
      <c r="S61" s="209"/>
      <c r="T61" s="209">
        <f t="shared" ref="T61" si="120">T60-R60</f>
        <v>2820008.5975216199</v>
      </c>
      <c r="U61" s="209">
        <f t="shared" si="0"/>
        <v>503444.325664801</v>
      </c>
    </row>
    <row r="62" spans="1:21" x14ac:dyDescent="0.3">
      <c r="A62" s="179">
        <f t="shared" ref="A62" si="121">A61+1</f>
        <v>27</v>
      </c>
      <c r="B62" s="202">
        <f t="shared" si="1"/>
        <v>52427</v>
      </c>
      <c r="C62" s="203"/>
      <c r="D62" s="204"/>
      <c r="E62" s="204"/>
      <c r="F62" s="204">
        <f>IF(A62&lt;=$N$2,$N$4*(180/360)*(SUM(D62:$D$89)),"")</f>
        <v>28200.08597521612</v>
      </c>
      <c r="G62" s="204"/>
      <c r="H62" s="204">
        <f t="shared" si="8"/>
        <v>28200.08597521612</v>
      </c>
      <c r="I62" s="204"/>
      <c r="J62" s="204">
        <f>IF(A62&lt;=$N$2,($N$3-(SUM($D$9:D61)))*$J$6,"")</f>
        <v>2115.0064481412123</v>
      </c>
      <c r="K62" s="204"/>
      <c r="L62" s="204"/>
      <c r="M62" s="204"/>
      <c r="N62" s="204">
        <f t="shared" si="3"/>
        <v>30315.092423357331</v>
      </c>
      <c r="O62" s="205"/>
      <c r="P62" s="203"/>
      <c r="Q62" s="206">
        <f t="shared" si="4"/>
        <v>2044</v>
      </c>
      <c r="R62" s="207">
        <f t="shared" ref="R62" si="122">U62-S62</f>
        <v>447044.15371436859</v>
      </c>
      <c r="S62" s="207">
        <f t="shared" ref="S62" si="123">T62*$N$4</f>
        <v>56400.171950432399</v>
      </c>
      <c r="T62" s="207">
        <f t="shared" ref="T62" si="124">T61</f>
        <v>2820008.5975216199</v>
      </c>
      <c r="U62" s="207">
        <f t="shared" si="0"/>
        <v>503444.325664801</v>
      </c>
    </row>
    <row r="63" spans="1:21" x14ac:dyDescent="0.3">
      <c r="A63" s="179">
        <f t="shared" ref="A63" si="125">A62</f>
        <v>27</v>
      </c>
      <c r="B63" s="202">
        <f t="shared" si="1"/>
        <v>52611</v>
      </c>
      <c r="C63" s="203"/>
      <c r="D63" s="204">
        <f t="shared" ref="D63" si="126">IF(A63&lt;=$N$2,R62,"")</f>
        <v>447044.15371436859</v>
      </c>
      <c r="E63" s="204"/>
      <c r="F63" s="204">
        <f>IF(A63&lt;=$N$2,$N$4*(180/360)*(SUM(D63:$D$89)),"")</f>
        <v>28200.08597521612</v>
      </c>
      <c r="G63" s="204"/>
      <c r="H63" s="204">
        <f t="shared" si="8"/>
        <v>475244.23968958471</v>
      </c>
      <c r="I63" s="204"/>
      <c r="J63" s="204">
        <f>IF(A63&lt;=$N$2,($N$3-(SUM($D$9:D62)))*$J$6,"")</f>
        <v>2115.0064481412123</v>
      </c>
      <c r="K63" s="204"/>
      <c r="L63" s="204"/>
      <c r="M63" s="204"/>
      <c r="N63" s="204">
        <f t="shared" si="3"/>
        <v>477359.24613772595</v>
      </c>
      <c r="O63" s="205"/>
      <c r="P63" s="204">
        <f t="shared" ref="P63" si="127">IF(A63&lt;=$N$2,ROUND(N62+N63,-3),"")</f>
        <v>508000</v>
      </c>
      <c r="Q63" s="206">
        <f t="shared" si="4"/>
        <v>2044</v>
      </c>
      <c r="R63" s="207"/>
      <c r="S63" s="207"/>
      <c r="T63" s="207">
        <f t="shared" ref="T63" si="128">T62-R62</f>
        <v>2372964.4438072513</v>
      </c>
      <c r="U63" s="207">
        <f t="shared" si="0"/>
        <v>503444.325664801</v>
      </c>
    </row>
    <row r="64" spans="1:21" x14ac:dyDescent="0.3">
      <c r="A64" s="179">
        <f t="shared" ref="A64" si="129">A63+1</f>
        <v>28</v>
      </c>
      <c r="B64" s="197">
        <f t="shared" si="1"/>
        <v>52793</v>
      </c>
      <c r="D64" s="208"/>
      <c r="E64" s="209"/>
      <c r="F64" s="209">
        <f>IF(A64&lt;=$N$2,$N$4*(180/360)*(SUM(D64:$D$89)),"")</f>
        <v>23729.644438072428</v>
      </c>
      <c r="G64" s="209"/>
      <c r="H64" s="209">
        <f t="shared" si="8"/>
        <v>23729.644438072428</v>
      </c>
      <c r="I64" s="209"/>
      <c r="J64" s="209">
        <f>IF(A64&lt;=$N$2,($N$3-(SUM($D$9:D63)))*$J$6,"")</f>
        <v>1779.723332855436</v>
      </c>
      <c r="K64" s="209"/>
      <c r="L64" s="209"/>
      <c r="M64" s="209"/>
      <c r="N64" s="209">
        <f t="shared" si="3"/>
        <v>25509.367770927864</v>
      </c>
      <c r="O64" s="200"/>
      <c r="Q64" s="186">
        <f t="shared" si="4"/>
        <v>2045</v>
      </c>
      <c r="R64" s="209">
        <f t="shared" ref="R64" si="130">U64-S64</f>
        <v>455985.03678865597</v>
      </c>
      <c r="S64" s="209">
        <f t="shared" ref="S64" si="131">T64*$N$4</f>
        <v>47459.288876145023</v>
      </c>
      <c r="T64" s="209">
        <f t="shared" ref="T64" si="132">T63</f>
        <v>2372964.4438072513</v>
      </c>
      <c r="U64" s="209">
        <f t="shared" si="0"/>
        <v>503444.325664801</v>
      </c>
    </row>
    <row r="65" spans="1:21" x14ac:dyDescent="0.3">
      <c r="A65" s="179">
        <f t="shared" ref="A65" si="133">A64</f>
        <v>28</v>
      </c>
      <c r="B65" s="197">
        <f t="shared" si="1"/>
        <v>52977</v>
      </c>
      <c r="D65" s="208">
        <f t="shared" ref="D65" si="134">IF(A65&lt;=$N$2,R64,"")</f>
        <v>455985.03678865597</v>
      </c>
      <c r="E65" s="209"/>
      <c r="F65" s="209">
        <f>IF(A65&lt;=$N$2,$N$4*(180/360)*(SUM(D65:$D$89)),"")</f>
        <v>23729.644438072428</v>
      </c>
      <c r="G65" s="209"/>
      <c r="H65" s="209">
        <f t="shared" si="8"/>
        <v>479714.68122672837</v>
      </c>
      <c r="I65" s="209"/>
      <c r="J65" s="209">
        <f>IF(A65&lt;=$N$2,($N$3-(SUM($D$9:D64)))*$J$6,"")</f>
        <v>1779.723332855436</v>
      </c>
      <c r="K65" s="209"/>
      <c r="L65" s="209"/>
      <c r="M65" s="209"/>
      <c r="N65" s="209">
        <f t="shared" si="3"/>
        <v>481494.40455958381</v>
      </c>
      <c r="O65" s="200"/>
      <c r="P65" s="209">
        <f t="shared" ref="P65" si="135">IF(A65&lt;=$N$2,ROUND(N64+N65,-3),"")</f>
        <v>507000</v>
      </c>
      <c r="Q65" s="210">
        <f t="shared" si="4"/>
        <v>2045</v>
      </c>
      <c r="R65" s="209"/>
      <c r="S65" s="209"/>
      <c r="T65" s="209">
        <f t="shared" ref="T65" si="136">T64-R64</f>
        <v>1916979.4070185954</v>
      </c>
      <c r="U65" s="209">
        <f t="shared" si="0"/>
        <v>503444.325664801</v>
      </c>
    </row>
    <row r="66" spans="1:21" x14ac:dyDescent="0.3">
      <c r="A66" s="179">
        <f t="shared" ref="A66" si="137">A65+1</f>
        <v>29</v>
      </c>
      <c r="B66" s="202">
        <f t="shared" si="1"/>
        <v>53158</v>
      </c>
      <c r="C66" s="203"/>
      <c r="D66" s="204"/>
      <c r="E66" s="204"/>
      <c r="F66" s="204">
        <f>IF(A66&lt;=$N$2,$N$4*(180/360)*(SUM(D66:$D$89)),"")</f>
        <v>19169.794070185872</v>
      </c>
      <c r="G66" s="204"/>
      <c r="H66" s="204">
        <f t="shared" si="8"/>
        <v>19169.794070185872</v>
      </c>
      <c r="I66" s="204"/>
      <c r="J66" s="204">
        <f>IF(A66&lt;=$N$2,($N$3-(SUM($D$9:D65)))*$J$6,"")</f>
        <v>1437.7345552639445</v>
      </c>
      <c r="K66" s="204"/>
      <c r="L66" s="204"/>
      <c r="M66" s="204"/>
      <c r="N66" s="204">
        <f t="shared" si="3"/>
        <v>20607.528625449817</v>
      </c>
      <c r="O66" s="205"/>
      <c r="P66" s="203"/>
      <c r="Q66" s="206">
        <f t="shared" si="4"/>
        <v>2046</v>
      </c>
      <c r="R66" s="207">
        <f t="shared" ref="R66" si="138">U66-S66</f>
        <v>465104.7375244291</v>
      </c>
      <c r="S66" s="207">
        <f t="shared" ref="S66" si="139">T66*$N$4</f>
        <v>38339.58814037191</v>
      </c>
      <c r="T66" s="207">
        <f t="shared" ref="T66" si="140">T65</f>
        <v>1916979.4070185954</v>
      </c>
      <c r="U66" s="207">
        <f t="shared" si="0"/>
        <v>503444.325664801</v>
      </c>
    </row>
    <row r="67" spans="1:21" x14ac:dyDescent="0.3">
      <c r="A67" s="179">
        <f t="shared" ref="A67" si="141">A66</f>
        <v>29</v>
      </c>
      <c r="B67" s="202">
        <f t="shared" si="1"/>
        <v>53342</v>
      </c>
      <c r="C67" s="203"/>
      <c r="D67" s="204">
        <f t="shared" ref="D67" si="142">IF(A67&lt;=$N$2,R66,"")</f>
        <v>465104.7375244291</v>
      </c>
      <c r="E67" s="204"/>
      <c r="F67" s="204">
        <f>IF(A67&lt;=$N$2,$N$4*(180/360)*(SUM(D67:$D$89)),"")</f>
        <v>19169.794070185872</v>
      </c>
      <c r="G67" s="204"/>
      <c r="H67" s="204">
        <f t="shared" si="8"/>
        <v>484274.53159461496</v>
      </c>
      <c r="I67" s="204"/>
      <c r="J67" s="204">
        <f>IF(A67&lt;=$N$2,($N$3-(SUM($D$9:D66)))*$J$6,"")</f>
        <v>1437.7345552639445</v>
      </c>
      <c r="K67" s="204"/>
      <c r="L67" s="204"/>
      <c r="M67" s="204"/>
      <c r="N67" s="204">
        <f t="shared" si="3"/>
        <v>485712.26614987891</v>
      </c>
      <c r="O67" s="205"/>
      <c r="P67" s="204">
        <f t="shared" ref="P67" si="143">IF(A67&lt;=$N$2,ROUND(N66+N67,-3),"")</f>
        <v>506000</v>
      </c>
      <c r="Q67" s="206">
        <f t="shared" si="4"/>
        <v>2046</v>
      </c>
      <c r="R67" s="207"/>
      <c r="S67" s="207"/>
      <c r="T67" s="207">
        <f t="shared" ref="T67" si="144">T66-R66</f>
        <v>1451874.6694941663</v>
      </c>
      <c r="U67" s="207">
        <f t="shared" si="0"/>
        <v>503444.325664801</v>
      </c>
    </row>
    <row r="68" spans="1:21" x14ac:dyDescent="0.3">
      <c r="A68" s="179">
        <f t="shared" ref="A68" si="145">A67+1</f>
        <v>30</v>
      </c>
      <c r="B68" s="197">
        <f t="shared" si="1"/>
        <v>53523</v>
      </c>
      <c r="D68" s="208"/>
      <c r="E68" s="209"/>
      <c r="F68" s="209">
        <f>IF(A68&lt;=$N$2,$N$4*(180/360)*(SUM(D68:$D$89)),"")</f>
        <v>14518.746694941581</v>
      </c>
      <c r="G68" s="209"/>
      <c r="H68" s="209">
        <f t="shared" si="8"/>
        <v>14518.746694941581</v>
      </c>
      <c r="I68" s="209"/>
      <c r="J68" s="209">
        <f>IF(A68&lt;=$N$2,($N$3-(SUM($D$9:D67)))*$J$6,"")</f>
        <v>1088.9060021206224</v>
      </c>
      <c r="K68" s="209"/>
      <c r="L68" s="209"/>
      <c r="M68" s="209"/>
      <c r="N68" s="209">
        <f t="shared" si="3"/>
        <v>15607.652697062204</v>
      </c>
      <c r="O68" s="200"/>
      <c r="Q68" s="186">
        <f t="shared" si="4"/>
        <v>2047</v>
      </c>
      <c r="R68" s="209">
        <f t="shared" ref="R68" si="146">U68-S68</f>
        <v>474406.83227491769</v>
      </c>
      <c r="S68" s="209">
        <f t="shared" ref="S68" si="147">T68*$N$4</f>
        <v>29037.493389883326</v>
      </c>
      <c r="T68" s="209">
        <f t="shared" ref="T68" si="148">T67</f>
        <v>1451874.6694941663</v>
      </c>
      <c r="U68" s="209">
        <f t="shared" si="0"/>
        <v>503444.325664801</v>
      </c>
    </row>
    <row r="69" spans="1:21" x14ac:dyDescent="0.3">
      <c r="A69" s="179">
        <f t="shared" ref="A69" si="149">A68</f>
        <v>30</v>
      </c>
      <c r="B69" s="197">
        <f t="shared" si="1"/>
        <v>53707</v>
      </c>
      <c r="D69" s="208">
        <f t="shared" ref="D69" si="150">IF(A69&lt;=$N$2,R68,"")</f>
        <v>474406.83227491769</v>
      </c>
      <c r="E69" s="209"/>
      <c r="F69" s="209">
        <f>IF(A69&lt;=$N$2,$N$4*(180/360)*(SUM(D69:$D$89)),"")</f>
        <v>14518.746694941581</v>
      </c>
      <c r="G69" s="209"/>
      <c r="H69" s="209">
        <f t="shared" si="8"/>
        <v>488925.57896985929</v>
      </c>
      <c r="I69" s="209"/>
      <c r="J69" s="209">
        <f>IF(A69&lt;=$N$2,($N$3-(SUM($D$9:D68)))*$J$6,"")</f>
        <v>1088.9060021206224</v>
      </c>
      <c r="K69" s="209"/>
      <c r="L69" s="209"/>
      <c r="M69" s="209"/>
      <c r="N69" s="209">
        <f t="shared" si="3"/>
        <v>490014.48497197992</v>
      </c>
      <c r="O69" s="200"/>
      <c r="P69" s="209">
        <f t="shared" ref="P69" si="151">IF(A69&lt;=$N$2,ROUND(N68+N69,-3),"")</f>
        <v>506000</v>
      </c>
      <c r="Q69" s="210">
        <f t="shared" si="4"/>
        <v>2047</v>
      </c>
      <c r="R69" s="209"/>
      <c r="S69" s="209"/>
      <c r="T69" s="209">
        <f t="shared" ref="T69" si="152">T68-R68</f>
        <v>977467.83721924853</v>
      </c>
      <c r="U69" s="209">
        <f t="shared" si="0"/>
        <v>503444.325664801</v>
      </c>
    </row>
    <row r="70" spans="1:21" x14ac:dyDescent="0.3">
      <c r="A70" s="179">
        <f t="shared" ref="A70" si="153">A69+1</f>
        <v>31</v>
      </c>
      <c r="B70" s="202">
        <f t="shared" si="1"/>
        <v>53888</v>
      </c>
      <c r="C70" s="203"/>
      <c r="D70" s="204"/>
      <c r="E70" s="204"/>
      <c r="F70" s="204">
        <f>IF(A70&lt;=$N$2,$N$4*(180/360)*(SUM(D70:$D$89)),"")</f>
        <v>9774.6783721924039</v>
      </c>
      <c r="G70" s="204"/>
      <c r="H70" s="204">
        <f t="shared" si="8"/>
        <v>9774.6783721924039</v>
      </c>
      <c r="I70" s="204"/>
      <c r="J70" s="204">
        <f>IF(A70&lt;=$N$2,($N$3-(SUM($D$9:D69)))*$J$6,"")</f>
        <v>733.10087791443436</v>
      </c>
      <c r="K70" s="204"/>
      <c r="L70" s="204"/>
      <c r="M70" s="204"/>
      <c r="N70" s="204">
        <f t="shared" si="3"/>
        <v>10507.779250106838</v>
      </c>
      <c r="O70" s="205"/>
      <c r="P70" s="203"/>
      <c r="Q70" s="206">
        <f t="shared" si="4"/>
        <v>2048</v>
      </c>
      <c r="R70" s="207">
        <f t="shared" ref="R70" si="154">U70-S70</f>
        <v>483894.96892041602</v>
      </c>
      <c r="S70" s="207">
        <f t="shared" ref="S70" si="155">T70*$N$4</f>
        <v>19549.356744384972</v>
      </c>
      <c r="T70" s="207">
        <f t="shared" ref="T70" si="156">T69</f>
        <v>977467.83721924853</v>
      </c>
      <c r="U70" s="207">
        <f t="shared" si="0"/>
        <v>503444.325664801</v>
      </c>
    </row>
    <row r="71" spans="1:21" x14ac:dyDescent="0.3">
      <c r="A71" s="179">
        <f t="shared" ref="A71" si="157">A70</f>
        <v>31</v>
      </c>
      <c r="B71" s="202">
        <f t="shared" si="1"/>
        <v>54072</v>
      </c>
      <c r="C71" s="203"/>
      <c r="D71" s="204">
        <f t="shared" ref="D71" si="158">IF(A71&lt;=$N$2,R70,"")</f>
        <v>483894.96892041602</v>
      </c>
      <c r="E71" s="204"/>
      <c r="F71" s="204">
        <f>IF(A71&lt;=$N$2,$N$4*(180/360)*(SUM(D71:$D$89)),"")</f>
        <v>9774.6783721924039</v>
      </c>
      <c r="G71" s="204"/>
      <c r="H71" s="204">
        <f t="shared" si="8"/>
        <v>493669.64729260845</v>
      </c>
      <c r="I71" s="204"/>
      <c r="J71" s="204">
        <f>IF(A71&lt;=$N$2,($N$3-(SUM($D$9:D70)))*$J$6,"")</f>
        <v>733.10087791443436</v>
      </c>
      <c r="K71" s="204"/>
      <c r="L71" s="204"/>
      <c r="M71" s="204"/>
      <c r="N71" s="204">
        <f t="shared" si="3"/>
        <v>494402.74817052291</v>
      </c>
      <c r="O71" s="205"/>
      <c r="P71" s="204">
        <f t="shared" ref="P71" si="159">IF(A71&lt;=$N$2,ROUND(N70+N71,-3),"")</f>
        <v>505000</v>
      </c>
      <c r="Q71" s="206">
        <f t="shared" si="4"/>
        <v>2048</v>
      </c>
      <c r="R71" s="207"/>
      <c r="S71" s="207"/>
      <c r="T71" s="207">
        <f t="shared" ref="T71" si="160">T70-R70</f>
        <v>493572.8682988325</v>
      </c>
      <c r="U71" s="207">
        <f t="shared" si="0"/>
        <v>503444.325664801</v>
      </c>
    </row>
    <row r="72" spans="1:21" x14ac:dyDescent="0.3">
      <c r="A72" s="179">
        <f t="shared" ref="A72:A88" si="161">A71+1</f>
        <v>32</v>
      </c>
      <c r="B72" s="197">
        <f t="shared" si="1"/>
        <v>54254</v>
      </c>
      <c r="D72" s="208"/>
      <c r="E72" s="209"/>
      <c r="F72" s="209">
        <f>IF(A72&lt;=$N$2,$N$4*(180/360)*(SUM(D72:$D$89)),"")</f>
        <v>4935.7286829882432</v>
      </c>
      <c r="G72" s="209"/>
      <c r="H72" s="209">
        <f t="shared" si="8"/>
        <v>4935.7286829882432</v>
      </c>
      <c r="I72" s="209"/>
      <c r="J72" s="209">
        <f>IF(A72&lt;=$N$2,($N$3-(SUM($D$9:D71)))*$J$6,"")</f>
        <v>370.17965122412284</v>
      </c>
      <c r="K72" s="209"/>
      <c r="L72" s="209"/>
      <c r="M72" s="209"/>
      <c r="N72" s="209">
        <f t="shared" si="3"/>
        <v>5305.9083342123658</v>
      </c>
      <c r="O72" s="200"/>
      <c r="Q72" s="186">
        <f t="shared" si="4"/>
        <v>2049</v>
      </c>
      <c r="R72" s="209">
        <f t="shared" ref="R72" si="162">U72-S72</f>
        <v>493572.86829882435</v>
      </c>
      <c r="S72" s="209">
        <f t="shared" ref="S72" si="163">T72*$N$4</f>
        <v>9871.4573659766502</v>
      </c>
      <c r="T72" s="209">
        <f t="shared" ref="T72" si="164">T71</f>
        <v>493572.8682988325</v>
      </c>
      <c r="U72" s="209">
        <f t="shared" si="0"/>
        <v>503444.325664801</v>
      </c>
    </row>
    <row r="73" spans="1:21" x14ac:dyDescent="0.3">
      <c r="A73" s="179">
        <f t="shared" ref="A73:A89" si="165">A72</f>
        <v>32</v>
      </c>
      <c r="B73" s="197">
        <f t="shared" si="1"/>
        <v>54438</v>
      </c>
      <c r="D73" s="208">
        <f t="shared" ref="D73" si="166">IF(A73&lt;=$N$2,R72,"")</f>
        <v>493572.86829882435</v>
      </c>
      <c r="E73" s="209"/>
      <c r="F73" s="209">
        <f>IF(A73&lt;=$N$2,$N$4*(180/360)*(SUM(D73:$D$89)),"")</f>
        <v>4935.7286829882432</v>
      </c>
      <c r="G73" s="209"/>
      <c r="H73" s="209">
        <f t="shared" si="8"/>
        <v>498508.59698181262</v>
      </c>
      <c r="I73" s="209"/>
      <c r="J73" s="209">
        <f>IF(A73&lt;=$N$2,($N$3-(SUM($D$9:D72)))*$J$6,"")</f>
        <v>370.17965122412284</v>
      </c>
      <c r="K73" s="209"/>
      <c r="L73" s="209"/>
      <c r="M73" s="209"/>
      <c r="N73" s="209">
        <f t="shared" si="3"/>
        <v>498878.77663303673</v>
      </c>
      <c r="O73" s="200"/>
      <c r="P73" s="209">
        <f t="shared" ref="P73" si="167">IF(A73&lt;=$N$2,ROUND(N72+N73,-3),"")</f>
        <v>504000</v>
      </c>
      <c r="Q73" s="210">
        <f t="shared" si="4"/>
        <v>2049</v>
      </c>
      <c r="R73" s="209"/>
      <c r="S73" s="209"/>
      <c r="T73" s="209">
        <f t="shared" ref="T73" si="168">T72-R72</f>
        <v>8.149072527885437E-9</v>
      </c>
      <c r="U73" s="209">
        <f t="shared" si="0"/>
        <v>503444.325664801</v>
      </c>
    </row>
    <row r="74" spans="1:21" x14ac:dyDescent="0.3">
      <c r="A74" s="179">
        <f t="shared" si="161"/>
        <v>33</v>
      </c>
      <c r="B74" s="202" t="str">
        <f t="shared" si="1"/>
        <v/>
      </c>
      <c r="C74" s="203"/>
      <c r="D74" s="204"/>
      <c r="E74" s="204"/>
      <c r="F74" s="204" t="str">
        <f>IF(A74&lt;=$N$2,$N$4*(180/360)*(SUM(D74:$D$89)),"")</f>
        <v/>
      </c>
      <c r="G74" s="204"/>
      <c r="H74" s="204" t="str">
        <f t="shared" si="8"/>
        <v/>
      </c>
      <c r="I74" s="204"/>
      <c r="J74" s="204" t="str">
        <f>IF(A74&lt;=$N$2,($N$3-(SUM($D$9:D73)))*$J$6,"")</f>
        <v/>
      </c>
      <c r="K74" s="204"/>
      <c r="L74" s="204"/>
      <c r="M74" s="204"/>
      <c r="N74" s="204" t="str">
        <f t="shared" si="3"/>
        <v/>
      </c>
      <c r="O74" s="205"/>
      <c r="P74" s="203"/>
      <c r="Q74" s="206" t="str">
        <f t="shared" si="4"/>
        <v/>
      </c>
      <c r="R74" s="207">
        <f t="shared" ref="R74" si="169">U74-S74</f>
        <v>503444.32566480082</v>
      </c>
      <c r="S74" s="207">
        <f t="shared" ref="S74" si="170">T74*$N$4</f>
        <v>1.6298145055770876E-10</v>
      </c>
      <c r="T74" s="207">
        <f t="shared" ref="T74" si="171">T73</f>
        <v>8.149072527885437E-9</v>
      </c>
      <c r="U74" s="207">
        <f t="shared" si="0"/>
        <v>503444.325664801</v>
      </c>
    </row>
    <row r="75" spans="1:21" x14ac:dyDescent="0.3">
      <c r="A75" s="179">
        <f t="shared" si="165"/>
        <v>33</v>
      </c>
      <c r="B75" s="202" t="str">
        <f t="shared" si="1"/>
        <v/>
      </c>
      <c r="C75" s="203"/>
      <c r="D75" s="204" t="str">
        <f t="shared" ref="D75" si="172">IF(A75&lt;=$N$2,R74,"")</f>
        <v/>
      </c>
      <c r="E75" s="204"/>
      <c r="F75" s="204" t="str">
        <f>IF(A75&lt;=$N$2,$N$4*(180/360)*(SUM(D75:$D$89)),"")</f>
        <v/>
      </c>
      <c r="G75" s="204"/>
      <c r="H75" s="204" t="str">
        <f t="shared" si="8"/>
        <v/>
      </c>
      <c r="I75" s="204"/>
      <c r="J75" s="204" t="str">
        <f>IF(A75&lt;=$N$2,($N$3-(SUM($D$9:D74)))*$J$6,"")</f>
        <v/>
      </c>
      <c r="K75" s="204"/>
      <c r="L75" s="204"/>
      <c r="M75" s="204"/>
      <c r="N75" s="204" t="str">
        <f t="shared" si="3"/>
        <v/>
      </c>
      <c r="O75" s="205"/>
      <c r="P75" s="204" t="str">
        <f t="shared" ref="P75" si="173">IF(A75&lt;=$N$2,ROUND(N74+N75,-3),"")</f>
        <v/>
      </c>
      <c r="Q75" s="206" t="str">
        <f t="shared" si="4"/>
        <v/>
      </c>
      <c r="R75" s="207"/>
      <c r="S75" s="207"/>
      <c r="T75" s="207">
        <f t="shared" ref="T75" si="174">T74-R74</f>
        <v>-503444.32566479268</v>
      </c>
      <c r="U75" s="207">
        <f t="shared" ref="U75:U89" si="175">U74</f>
        <v>503444.325664801</v>
      </c>
    </row>
    <row r="76" spans="1:21" x14ac:dyDescent="0.3">
      <c r="A76" s="179">
        <f t="shared" si="161"/>
        <v>34</v>
      </c>
      <c r="B76" s="197" t="str">
        <f t="shared" ref="B76:B89" si="176">IF($N$2&gt;=A76,IF(MONTH(B75)=1,DATE(YEAR(B75),7,15),DATE(YEAR(B75)+1,1,15)),"")</f>
        <v/>
      </c>
      <c r="D76" s="208"/>
      <c r="E76" s="209"/>
      <c r="F76" s="209" t="str">
        <f>IF(A76&lt;=$N$2,$N$4*(180/360)*(SUM(D76:$D$89)),"")</f>
        <v/>
      </c>
      <c r="G76" s="209"/>
      <c r="H76" s="209" t="str">
        <f t="shared" si="8"/>
        <v/>
      </c>
      <c r="I76" s="209"/>
      <c r="J76" s="209" t="str">
        <f>IF(A76&lt;=$N$2,($N$3-(SUM($D$9:D75)))*$J$6,"")</f>
        <v/>
      </c>
      <c r="K76" s="209"/>
      <c r="L76" s="209"/>
      <c r="M76" s="209"/>
      <c r="N76" s="209" t="str">
        <f t="shared" ref="N76:N89" si="177">IF(A76&lt;=$N$2,H76+J76+L76,"")</f>
        <v/>
      </c>
      <c r="O76" s="200"/>
      <c r="Q76" s="186" t="str">
        <f t="shared" ref="Q76:Q89" si="178">IF(A76&lt;=$N$2,IF(MONTH(B76)&lt;7,YEAR(B76),YEAR(B76)+1),"")</f>
        <v/>
      </c>
      <c r="R76" s="209">
        <f t="shared" ref="R76" si="179">U76-S76</f>
        <v>513513.21217809687</v>
      </c>
      <c r="S76" s="209">
        <f t="shared" ref="S76" si="180">T76*$N$4</f>
        <v>-10068.886513295854</v>
      </c>
      <c r="T76" s="209">
        <f t="shared" ref="T76" si="181">T75</f>
        <v>-503444.32566479268</v>
      </c>
      <c r="U76" s="209">
        <f t="shared" si="175"/>
        <v>503444.325664801</v>
      </c>
    </row>
    <row r="77" spans="1:21" x14ac:dyDescent="0.3">
      <c r="A77" s="179">
        <f t="shared" si="165"/>
        <v>34</v>
      </c>
      <c r="B77" s="197" t="str">
        <f t="shared" si="176"/>
        <v/>
      </c>
      <c r="D77" s="208" t="str">
        <f t="shared" ref="D77" si="182">IF(A77&lt;=$N$2,R76,"")</f>
        <v/>
      </c>
      <c r="E77" s="209"/>
      <c r="F77" s="209" t="str">
        <f>IF(A77&lt;=$N$2,$N$4*(180/360)*(SUM(D77:$D$89)),"")</f>
        <v/>
      </c>
      <c r="G77" s="209"/>
      <c r="H77" s="209" t="str">
        <f t="shared" si="8"/>
        <v/>
      </c>
      <c r="I77" s="209"/>
      <c r="J77" s="209" t="str">
        <f>IF(A77&lt;=$N$2,($N$3-(SUM($D$9:D76)))*$J$6,"")</f>
        <v/>
      </c>
      <c r="K77" s="209"/>
      <c r="L77" s="209"/>
      <c r="M77" s="209"/>
      <c r="N77" s="209" t="str">
        <f t="shared" si="177"/>
        <v/>
      </c>
      <c r="O77" s="200"/>
      <c r="P77" s="209" t="str">
        <f t="shared" ref="P77" si="183">IF(A77&lt;=$N$2,ROUND(N76+N77,-3),"")</f>
        <v/>
      </c>
      <c r="Q77" s="210" t="str">
        <f t="shared" si="178"/>
        <v/>
      </c>
      <c r="R77" s="209"/>
      <c r="S77" s="209"/>
      <c r="T77" s="209">
        <f t="shared" ref="T77" si="184">T76-R76</f>
        <v>-1016957.5378428895</v>
      </c>
      <c r="U77" s="209">
        <f t="shared" si="175"/>
        <v>503444.325664801</v>
      </c>
    </row>
    <row r="78" spans="1:21" x14ac:dyDescent="0.3">
      <c r="A78" s="179">
        <f t="shared" si="161"/>
        <v>35</v>
      </c>
      <c r="B78" s="202" t="str">
        <f t="shared" si="176"/>
        <v/>
      </c>
      <c r="C78" s="203"/>
      <c r="D78" s="204"/>
      <c r="E78" s="204"/>
      <c r="F78" s="204" t="str">
        <f>IF(A78&lt;=$N$2,$N$4*(180/360)*(SUM(D78:$D$89)),"")</f>
        <v/>
      </c>
      <c r="G78" s="204"/>
      <c r="H78" s="204" t="str">
        <f t="shared" si="8"/>
        <v/>
      </c>
      <c r="I78" s="204"/>
      <c r="J78" s="204" t="str">
        <f>IF(A78&lt;=$N$2,($N$3-(SUM($D$9:D77)))*$J$6,"")</f>
        <v/>
      </c>
      <c r="K78" s="204"/>
      <c r="L78" s="204"/>
      <c r="M78" s="204"/>
      <c r="N78" s="204" t="str">
        <f t="shared" si="177"/>
        <v/>
      </c>
      <c r="O78" s="205"/>
      <c r="P78" s="203"/>
      <c r="Q78" s="206" t="str">
        <f t="shared" si="178"/>
        <v/>
      </c>
      <c r="R78" s="207">
        <f t="shared" ref="R78" si="185">U78-S78</f>
        <v>523783.47642165876</v>
      </c>
      <c r="S78" s="207">
        <f t="shared" ref="S78" si="186">T78*$N$4</f>
        <v>-20339.150756857791</v>
      </c>
      <c r="T78" s="207">
        <f t="shared" ref="T78" si="187">T77</f>
        <v>-1016957.5378428895</v>
      </c>
      <c r="U78" s="207">
        <f t="shared" si="175"/>
        <v>503444.325664801</v>
      </c>
    </row>
    <row r="79" spans="1:21" x14ac:dyDescent="0.3">
      <c r="A79" s="179">
        <f t="shared" si="165"/>
        <v>35</v>
      </c>
      <c r="B79" s="202" t="str">
        <f t="shared" si="176"/>
        <v/>
      </c>
      <c r="C79" s="203"/>
      <c r="D79" s="204" t="str">
        <f t="shared" ref="D79" si="188">IF(A79&lt;=$N$2,R78,"")</f>
        <v/>
      </c>
      <c r="E79" s="204"/>
      <c r="F79" s="204" t="str">
        <f>IF(A79&lt;=$N$2,$N$4*(180/360)*(SUM(D79:$D$89)),"")</f>
        <v/>
      </c>
      <c r="G79" s="204"/>
      <c r="H79" s="204" t="str">
        <f t="shared" si="8"/>
        <v/>
      </c>
      <c r="I79" s="204"/>
      <c r="J79" s="204" t="str">
        <f>IF(A79&lt;=$N$2,($N$3-(SUM($D$9:D78)))*$J$6,"")</f>
        <v/>
      </c>
      <c r="K79" s="204"/>
      <c r="L79" s="204"/>
      <c r="M79" s="204"/>
      <c r="N79" s="204" t="str">
        <f t="shared" si="177"/>
        <v/>
      </c>
      <c r="O79" s="205"/>
      <c r="P79" s="204" t="str">
        <f t="shared" ref="P79" si="189">IF(A79&lt;=$N$2,ROUND(N78+N79,-3),"")</f>
        <v/>
      </c>
      <c r="Q79" s="206" t="str">
        <f t="shared" si="178"/>
        <v/>
      </c>
      <c r="R79" s="207"/>
      <c r="S79" s="207"/>
      <c r="T79" s="207">
        <f t="shared" ref="T79" si="190">T78-R78</f>
        <v>-1540741.0142645482</v>
      </c>
      <c r="U79" s="207">
        <f t="shared" si="175"/>
        <v>503444.325664801</v>
      </c>
    </row>
    <row r="80" spans="1:21" x14ac:dyDescent="0.3">
      <c r="A80" s="179">
        <f t="shared" si="161"/>
        <v>36</v>
      </c>
      <c r="B80" s="197" t="str">
        <f t="shared" si="176"/>
        <v/>
      </c>
      <c r="D80" s="208"/>
      <c r="E80" s="209"/>
      <c r="F80" s="209" t="str">
        <f>IF(A80&lt;=$N$2,$N$4*(180/360)*(SUM(D80:$D$89)),"")</f>
        <v/>
      </c>
      <c r="G80" s="209"/>
      <c r="H80" s="209" t="str">
        <f t="shared" ref="H80:H89" si="191">IF(A80&lt;=$N$2,D80+F80,"")</f>
        <v/>
      </c>
      <c r="I80" s="209"/>
      <c r="J80" s="209" t="str">
        <f>IF(A80&lt;=$N$2,($N$3-(SUM($D$9:D79)))*$J$6,"")</f>
        <v/>
      </c>
      <c r="K80" s="209"/>
      <c r="L80" s="209"/>
      <c r="M80" s="209"/>
      <c r="N80" s="209" t="str">
        <f t="shared" si="177"/>
        <v/>
      </c>
      <c r="O80" s="200"/>
      <c r="Q80" s="186" t="str">
        <f t="shared" si="178"/>
        <v/>
      </c>
      <c r="R80" s="209">
        <f t="shared" ref="R80" si="192">U80-S80</f>
        <v>534259.145950092</v>
      </c>
      <c r="S80" s="209">
        <f t="shared" ref="S80" si="193">T80*$N$4</f>
        <v>-30814.820285290964</v>
      </c>
      <c r="T80" s="209">
        <f t="shared" ref="T80" si="194">T79</f>
        <v>-1540741.0142645482</v>
      </c>
      <c r="U80" s="209">
        <f t="shared" si="175"/>
        <v>503444.325664801</v>
      </c>
    </row>
    <row r="81" spans="1:21" x14ac:dyDescent="0.3">
      <c r="A81" s="179">
        <f t="shared" si="165"/>
        <v>36</v>
      </c>
      <c r="B81" s="197" t="str">
        <f t="shared" si="176"/>
        <v/>
      </c>
      <c r="D81" s="208" t="str">
        <f t="shared" ref="D81" si="195">IF(A81&lt;=$N$2,R80,"")</f>
        <v/>
      </c>
      <c r="E81" s="209"/>
      <c r="F81" s="209" t="str">
        <f>IF(A81&lt;=$N$2,$N$4*(180/360)*(SUM(D81:$D$89)),"")</f>
        <v/>
      </c>
      <c r="G81" s="209"/>
      <c r="H81" s="209" t="str">
        <f t="shared" si="191"/>
        <v/>
      </c>
      <c r="I81" s="209"/>
      <c r="J81" s="209" t="str">
        <f>IF(A81&lt;=$N$2,($N$3-(SUM($D$9:D80)))*$J$6,"")</f>
        <v/>
      </c>
      <c r="K81" s="209"/>
      <c r="L81" s="209"/>
      <c r="M81" s="209"/>
      <c r="N81" s="209" t="str">
        <f t="shared" si="177"/>
        <v/>
      </c>
      <c r="O81" s="200"/>
      <c r="P81" s="209" t="str">
        <f t="shared" ref="P81" si="196">IF(A81&lt;=$N$2,ROUND(N80+N81,-3),"")</f>
        <v/>
      </c>
      <c r="Q81" s="210" t="str">
        <f t="shared" si="178"/>
        <v/>
      </c>
      <c r="R81" s="209"/>
      <c r="S81" s="209"/>
      <c r="T81" s="209">
        <f t="shared" ref="T81" si="197">T80-R80</f>
        <v>-2075000.1602146402</v>
      </c>
      <c r="U81" s="209">
        <f t="shared" si="175"/>
        <v>503444.325664801</v>
      </c>
    </row>
    <row r="82" spans="1:21" x14ac:dyDescent="0.3">
      <c r="A82" s="179">
        <f t="shared" si="161"/>
        <v>37</v>
      </c>
      <c r="B82" s="202" t="str">
        <f t="shared" si="176"/>
        <v/>
      </c>
      <c r="C82" s="203"/>
      <c r="D82" s="204"/>
      <c r="E82" s="204"/>
      <c r="F82" s="204" t="str">
        <f>IF(A82&lt;=$N$2,$N$4*(180/360)*(SUM(D82:$D$89)),"")</f>
        <v/>
      </c>
      <c r="G82" s="204"/>
      <c r="H82" s="204" t="str">
        <f t="shared" si="191"/>
        <v/>
      </c>
      <c r="I82" s="204"/>
      <c r="J82" s="204" t="str">
        <f>IF(A82&lt;=$N$2,($N$3-(SUM($D$9:D81)))*$J$6,"")</f>
        <v/>
      </c>
      <c r="K82" s="204"/>
      <c r="L82" s="204"/>
      <c r="M82" s="204"/>
      <c r="N82" s="204" t="str">
        <f t="shared" si="177"/>
        <v/>
      </c>
      <c r="O82" s="205"/>
      <c r="P82" s="203"/>
      <c r="Q82" s="206" t="str">
        <f t="shared" si="178"/>
        <v/>
      </c>
      <c r="R82" s="207">
        <f t="shared" ref="R82" si="198">U82-S82</f>
        <v>544944.32886909379</v>
      </c>
      <c r="S82" s="207">
        <f t="shared" ref="S82" si="199">T82*$N$4</f>
        <v>-41500.003204292807</v>
      </c>
      <c r="T82" s="207">
        <f t="shared" ref="T82" si="200">T81</f>
        <v>-2075000.1602146402</v>
      </c>
      <c r="U82" s="207">
        <f t="shared" si="175"/>
        <v>503444.325664801</v>
      </c>
    </row>
    <row r="83" spans="1:21" x14ac:dyDescent="0.3">
      <c r="A83" s="179">
        <f t="shared" si="165"/>
        <v>37</v>
      </c>
      <c r="B83" s="202" t="str">
        <f t="shared" si="176"/>
        <v/>
      </c>
      <c r="C83" s="203"/>
      <c r="D83" s="204" t="str">
        <f t="shared" ref="D83" si="201">IF(A83&lt;=$N$2,R82,"")</f>
        <v/>
      </c>
      <c r="E83" s="204"/>
      <c r="F83" s="204" t="str">
        <f>IF(A83&lt;=$N$2,$N$4*(180/360)*(SUM(D83:$D$89)),"")</f>
        <v/>
      </c>
      <c r="G83" s="204"/>
      <c r="H83" s="204" t="str">
        <f t="shared" si="191"/>
        <v/>
      </c>
      <c r="I83" s="204"/>
      <c r="J83" s="204" t="str">
        <f>IF(A83&lt;=$N$2,($N$3-(SUM($D$9:D82)))*$J$6,"")</f>
        <v/>
      </c>
      <c r="K83" s="204"/>
      <c r="L83" s="204"/>
      <c r="M83" s="204"/>
      <c r="N83" s="204" t="str">
        <f t="shared" si="177"/>
        <v/>
      </c>
      <c r="O83" s="205"/>
      <c r="P83" s="204" t="str">
        <f t="shared" ref="P83" si="202">IF(A83&lt;=$N$2,ROUND(N82+N83,-3),"")</f>
        <v/>
      </c>
      <c r="Q83" s="206" t="str">
        <f t="shared" si="178"/>
        <v/>
      </c>
      <c r="R83" s="207"/>
      <c r="S83" s="207"/>
      <c r="T83" s="207">
        <f t="shared" ref="T83" si="203">T82-R82</f>
        <v>-2619944.4890837339</v>
      </c>
      <c r="U83" s="207">
        <f t="shared" si="175"/>
        <v>503444.325664801</v>
      </c>
    </row>
    <row r="84" spans="1:21" x14ac:dyDescent="0.3">
      <c r="A84" s="179">
        <f t="shared" si="161"/>
        <v>38</v>
      </c>
      <c r="B84" s="197" t="str">
        <f t="shared" si="176"/>
        <v/>
      </c>
      <c r="D84" s="208"/>
      <c r="E84" s="209"/>
      <c r="F84" s="209" t="str">
        <f>IF(A84&lt;=$N$2,$N$4*(180/360)*(SUM(D84:$D$89)),"")</f>
        <v/>
      </c>
      <c r="G84" s="209"/>
      <c r="H84" s="209" t="str">
        <f t="shared" si="191"/>
        <v/>
      </c>
      <c r="I84" s="209"/>
      <c r="J84" s="209" t="str">
        <f>IF(A84&lt;=$N$2,($N$3-(SUM($D$9:D83)))*$J$6,"")</f>
        <v/>
      </c>
      <c r="K84" s="209"/>
      <c r="L84" s="209"/>
      <c r="M84" s="209"/>
      <c r="N84" s="209" t="str">
        <f t="shared" si="177"/>
        <v/>
      </c>
      <c r="O84" s="200"/>
      <c r="Q84" s="186" t="str">
        <f t="shared" si="178"/>
        <v/>
      </c>
      <c r="R84" s="209">
        <f t="shared" ref="R84" si="204">U84-S84</f>
        <v>555843.21544647566</v>
      </c>
      <c r="S84" s="209">
        <f t="shared" ref="S84" si="205">T84*$N$4</f>
        <v>-52398.889781674676</v>
      </c>
      <c r="T84" s="209">
        <f t="shared" ref="T84" si="206">T83</f>
        <v>-2619944.4890837339</v>
      </c>
      <c r="U84" s="209">
        <f t="shared" si="175"/>
        <v>503444.325664801</v>
      </c>
    </row>
    <row r="85" spans="1:21" x14ac:dyDescent="0.3">
      <c r="A85" s="179">
        <f t="shared" si="165"/>
        <v>38</v>
      </c>
      <c r="B85" s="197" t="str">
        <f t="shared" si="176"/>
        <v/>
      </c>
      <c r="D85" s="208" t="str">
        <f t="shared" ref="D85" si="207">IF(A85&lt;=$N$2,R84,"")</f>
        <v/>
      </c>
      <c r="E85" s="209"/>
      <c r="F85" s="209" t="str">
        <f>IF(A85&lt;=$N$2,$N$4*(180/360)*(SUM(D85:$D$89)),"")</f>
        <v/>
      </c>
      <c r="G85" s="209"/>
      <c r="H85" s="209" t="str">
        <f t="shared" si="191"/>
        <v/>
      </c>
      <c r="I85" s="209"/>
      <c r="J85" s="209" t="str">
        <f>IF(A85&lt;=$N$2,($N$3-(SUM($D$9:D84)))*$J$6,"")</f>
        <v/>
      </c>
      <c r="K85" s="209"/>
      <c r="L85" s="209"/>
      <c r="M85" s="209"/>
      <c r="N85" s="209" t="str">
        <f t="shared" si="177"/>
        <v/>
      </c>
      <c r="O85" s="200"/>
      <c r="P85" s="209" t="str">
        <f t="shared" ref="P85" si="208">IF(A85&lt;=$N$2,ROUND(N84+N85,-3),"")</f>
        <v/>
      </c>
      <c r="Q85" s="210" t="str">
        <f t="shared" si="178"/>
        <v/>
      </c>
      <c r="R85" s="209"/>
      <c r="S85" s="209"/>
      <c r="T85" s="209">
        <f t="shared" ref="T85" si="209">T84-R84</f>
        <v>-3175787.7045302093</v>
      </c>
      <c r="U85" s="209">
        <f t="shared" si="175"/>
        <v>503444.325664801</v>
      </c>
    </row>
    <row r="86" spans="1:21" x14ac:dyDescent="0.3">
      <c r="A86" s="179">
        <f t="shared" si="161"/>
        <v>39</v>
      </c>
      <c r="B86" s="202" t="str">
        <f t="shared" si="176"/>
        <v/>
      </c>
      <c r="C86" s="203"/>
      <c r="D86" s="204"/>
      <c r="E86" s="204"/>
      <c r="F86" s="204" t="str">
        <f>IF(A86&lt;=$N$2,$N$4*(180/360)*(SUM(D86:$D$89)),"")</f>
        <v/>
      </c>
      <c r="G86" s="204"/>
      <c r="H86" s="204" t="str">
        <f t="shared" si="191"/>
        <v/>
      </c>
      <c r="I86" s="204"/>
      <c r="J86" s="204" t="str">
        <f>IF(A86&lt;=$N$2,($N$3-(SUM($D$9:D85)))*$J$6,"")</f>
        <v/>
      </c>
      <c r="K86" s="204"/>
      <c r="L86" s="204"/>
      <c r="M86" s="204"/>
      <c r="N86" s="204" t="str">
        <f t="shared" si="177"/>
        <v/>
      </c>
      <c r="O86" s="205"/>
      <c r="P86" s="203"/>
      <c r="Q86" s="206" t="str">
        <f t="shared" si="178"/>
        <v/>
      </c>
      <c r="R86" s="207">
        <f t="shared" ref="R86" si="210">U86-S86</f>
        <v>566960.0797554052</v>
      </c>
      <c r="S86" s="207">
        <f t="shared" ref="S86" si="211">T86*$N$4</f>
        <v>-63515.75409060419</v>
      </c>
      <c r="T86" s="207">
        <f t="shared" ref="T86" si="212">T85</f>
        <v>-3175787.7045302093</v>
      </c>
      <c r="U86" s="207">
        <f t="shared" si="175"/>
        <v>503444.325664801</v>
      </c>
    </row>
    <row r="87" spans="1:21" x14ac:dyDescent="0.3">
      <c r="A87" s="179">
        <f t="shared" si="165"/>
        <v>39</v>
      </c>
      <c r="B87" s="202" t="str">
        <f t="shared" si="176"/>
        <v/>
      </c>
      <c r="C87" s="203"/>
      <c r="D87" s="204" t="str">
        <f t="shared" ref="D87" si="213">IF(A87&lt;=$N$2,R86,"")</f>
        <v/>
      </c>
      <c r="E87" s="204"/>
      <c r="F87" s="204" t="str">
        <f>IF(A87&lt;=$N$2,$N$4*(180/360)*(SUM(D87:$D$89)),"")</f>
        <v/>
      </c>
      <c r="G87" s="204"/>
      <c r="H87" s="204" t="str">
        <f t="shared" si="191"/>
        <v/>
      </c>
      <c r="I87" s="204"/>
      <c r="J87" s="204" t="str">
        <f>IF(A87&lt;=$N$2,($N$3-(SUM($D$9:D86)))*$J$6,"")</f>
        <v/>
      </c>
      <c r="K87" s="204"/>
      <c r="L87" s="204"/>
      <c r="M87" s="204"/>
      <c r="N87" s="204" t="str">
        <f t="shared" si="177"/>
        <v/>
      </c>
      <c r="O87" s="205"/>
      <c r="P87" s="204" t="str">
        <f t="shared" ref="P87" si="214">IF(A87&lt;=$N$2,ROUND(N86+N87,-3),"")</f>
        <v/>
      </c>
      <c r="Q87" s="206" t="str">
        <f t="shared" si="178"/>
        <v/>
      </c>
      <c r="R87" s="207"/>
      <c r="S87" s="207"/>
      <c r="T87" s="207">
        <f t="shared" ref="T87" si="215">T86-R86</f>
        <v>-3742747.7842856143</v>
      </c>
      <c r="U87" s="207">
        <f t="shared" si="175"/>
        <v>503444.325664801</v>
      </c>
    </row>
    <row r="88" spans="1:21" x14ac:dyDescent="0.3">
      <c r="A88" s="179">
        <f t="shared" si="161"/>
        <v>40</v>
      </c>
      <c r="B88" s="197" t="str">
        <f t="shared" si="176"/>
        <v/>
      </c>
      <c r="D88" s="208"/>
      <c r="E88" s="209"/>
      <c r="F88" s="209" t="str">
        <f>IF(A88&lt;=$N$2,$N$4*(180/360)*(SUM(D88:$D$89)),"")</f>
        <v/>
      </c>
      <c r="G88" s="209"/>
      <c r="H88" s="209" t="str">
        <f t="shared" si="191"/>
        <v/>
      </c>
      <c r="I88" s="209"/>
      <c r="J88" s="209" t="str">
        <f>IF(A88&lt;=$N$2,($N$3-(SUM($D$9:D87)))*$J$6,"")</f>
        <v/>
      </c>
      <c r="K88" s="209"/>
      <c r="L88" s="209"/>
      <c r="M88" s="209"/>
      <c r="N88" s="209" t="str">
        <f t="shared" si="177"/>
        <v/>
      </c>
      <c r="O88" s="200"/>
      <c r="Q88" s="186" t="str">
        <f t="shared" si="178"/>
        <v/>
      </c>
      <c r="R88" s="209">
        <f t="shared" ref="R88" si="216">U88-S88</f>
        <v>578299.28135051322</v>
      </c>
      <c r="S88" s="209">
        <f t="shared" ref="S88" si="217">T88*$N$4</f>
        <v>-74854.955685712281</v>
      </c>
      <c r="T88" s="209">
        <f t="shared" ref="T88" si="218">T87</f>
        <v>-3742747.7842856143</v>
      </c>
      <c r="U88" s="209">
        <f t="shared" si="175"/>
        <v>503444.325664801</v>
      </c>
    </row>
    <row r="89" spans="1:21" x14ac:dyDescent="0.3">
      <c r="A89" s="179">
        <f t="shared" si="165"/>
        <v>40</v>
      </c>
      <c r="B89" s="197" t="str">
        <f t="shared" si="176"/>
        <v/>
      </c>
      <c r="D89" s="208" t="str">
        <f t="shared" ref="D89" si="219">IF(A89&lt;=$N$2,R88,"")</f>
        <v/>
      </c>
      <c r="E89" s="209"/>
      <c r="F89" s="209" t="str">
        <f>IF(A89&lt;=$N$2,$N$4*(180/360)*(SUM(D89:$D$89)),"")</f>
        <v/>
      </c>
      <c r="G89" s="209"/>
      <c r="H89" s="209" t="str">
        <f t="shared" si="191"/>
        <v/>
      </c>
      <c r="I89" s="209"/>
      <c r="J89" s="209" t="str">
        <f>IF(A89&lt;=$N$2,($N$3-(SUM($D$9:D88)))*$J$6,"")</f>
        <v/>
      </c>
      <c r="K89" s="209"/>
      <c r="L89" s="209"/>
      <c r="M89" s="209"/>
      <c r="N89" s="209" t="str">
        <f t="shared" si="177"/>
        <v/>
      </c>
      <c r="O89" s="200"/>
      <c r="P89" s="209" t="str">
        <f t="shared" ref="P89" si="220">IF(A89&lt;=$N$2,ROUND(N88+N89,-3),"")</f>
        <v/>
      </c>
      <c r="Q89" s="210" t="str">
        <f t="shared" si="178"/>
        <v/>
      </c>
      <c r="R89" s="209"/>
      <c r="S89" s="209"/>
      <c r="T89" s="209">
        <f t="shared" ref="T89" si="221">T88-R88</f>
        <v>-4321047.0656361273</v>
      </c>
      <c r="U89" s="209">
        <f t="shared" si="175"/>
        <v>503444.325664801</v>
      </c>
    </row>
    <row r="90" spans="1:21" x14ac:dyDescent="0.3">
      <c r="B90" s="197"/>
      <c r="D90" s="208"/>
      <c r="E90" s="209"/>
      <c r="F90" s="209"/>
      <c r="G90" s="209"/>
      <c r="H90" s="209"/>
      <c r="I90" s="209"/>
      <c r="J90" s="209"/>
      <c r="K90" s="209"/>
      <c r="L90" s="209"/>
      <c r="M90" s="209"/>
      <c r="N90" s="209"/>
      <c r="P90" s="199"/>
      <c r="Q90" s="210"/>
      <c r="R90" s="211"/>
      <c r="S90" s="211"/>
      <c r="T90" s="211"/>
      <c r="U90" s="211"/>
    </row>
    <row r="91" spans="1:21" x14ac:dyDescent="0.3">
      <c r="B91" s="212" t="s">
        <v>4</v>
      </c>
      <c r="D91" s="213">
        <f>SUM(D10:D89)</f>
        <v>11814999.999999994</v>
      </c>
      <c r="E91" s="214"/>
      <c r="F91" s="213">
        <f>SUM(F10:F89)</f>
        <v>4295218.4212736301</v>
      </c>
      <c r="G91" s="214"/>
      <c r="H91" s="213">
        <f>SUM(H10:H89)</f>
        <v>16110218.421273625</v>
      </c>
      <c r="I91" s="214"/>
      <c r="J91" s="213">
        <f>SUM(J10:J89)</f>
        <v>322141.38159552269</v>
      </c>
      <c r="K91" s="214"/>
      <c r="L91" s="213">
        <f>SUM(L10:L89)</f>
        <v>88612.5</v>
      </c>
      <c r="M91" s="214"/>
      <c r="N91" s="213">
        <f>SUM(N10:N89)</f>
        <v>16520972.302869149</v>
      </c>
      <c r="O91" s="183"/>
      <c r="P91" s="213">
        <f>SUM(P10:P89)</f>
        <v>16522000</v>
      </c>
      <c r="R91" s="215" t="s">
        <v>116</v>
      </c>
      <c r="S91" s="216"/>
      <c r="T91" s="217">
        <f>P91</f>
        <v>16522000</v>
      </c>
      <c r="U91" s="211"/>
    </row>
    <row r="92" spans="1:21" x14ac:dyDescent="0.3">
      <c r="B92" s="197"/>
      <c r="D92" s="198"/>
      <c r="E92" s="199"/>
      <c r="F92" s="199"/>
      <c r="G92" s="199"/>
      <c r="H92" s="199"/>
      <c r="I92" s="199"/>
      <c r="J92" s="199"/>
      <c r="K92" s="199"/>
      <c r="M92" s="199"/>
      <c r="N92" s="199" t="s">
        <v>118</v>
      </c>
      <c r="P92" s="209">
        <f>P91/N2</f>
        <v>516312.5</v>
      </c>
      <c r="R92" s="218" t="s">
        <v>113</v>
      </c>
      <c r="S92" s="219"/>
      <c r="T92" s="220">
        <f>D91</f>
        <v>11814999.999999994</v>
      </c>
      <c r="U92" s="211"/>
    </row>
    <row r="93" spans="1:21" x14ac:dyDescent="0.3">
      <c r="B93" s="197"/>
      <c r="C93" s="182"/>
      <c r="D93" s="198"/>
      <c r="E93" s="198"/>
      <c r="F93" s="198"/>
      <c r="G93" s="199"/>
      <c r="H93" s="199"/>
      <c r="I93" s="199"/>
      <c r="J93" s="199"/>
      <c r="K93" s="199"/>
      <c r="M93" s="199"/>
      <c r="N93" s="199" t="s">
        <v>119</v>
      </c>
      <c r="P93" s="209">
        <f>MAX(P10:P49)</f>
        <v>610000</v>
      </c>
      <c r="R93" s="221" t="s">
        <v>120</v>
      </c>
      <c r="S93" s="222"/>
      <c r="T93" s="223">
        <f>T91-T92</f>
        <v>4707000.0000000056</v>
      </c>
      <c r="U93" s="211"/>
    </row>
    <row r="94" spans="1:21" x14ac:dyDescent="0.3">
      <c r="B94" s="197"/>
      <c r="D94" s="198"/>
      <c r="E94" s="199"/>
      <c r="F94" s="199"/>
      <c r="G94" s="199"/>
      <c r="H94" s="199"/>
      <c r="I94" s="199"/>
      <c r="J94" s="199"/>
      <c r="K94" s="199"/>
      <c r="R94" s="211"/>
      <c r="S94" s="211"/>
      <c r="T94" s="211"/>
      <c r="U94" s="211"/>
    </row>
    <row r="95" spans="1:21" x14ac:dyDescent="0.3">
      <c r="B95" s="197" t="s">
        <v>121</v>
      </c>
      <c r="D95" s="198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R95" s="211"/>
      <c r="S95" s="211"/>
      <c r="T95" s="211"/>
      <c r="U95" s="211"/>
    </row>
    <row r="96" spans="1:21" x14ac:dyDescent="0.3">
      <c r="B96" s="197" t="s">
        <v>122</v>
      </c>
      <c r="R96" s="211"/>
      <c r="S96" s="211"/>
      <c r="T96" s="211"/>
      <c r="U96" s="211"/>
    </row>
    <row r="97" spans="2:21" x14ac:dyDescent="0.3">
      <c r="B97" s="197" t="s">
        <v>123</v>
      </c>
      <c r="R97" s="211"/>
      <c r="S97" s="211"/>
      <c r="T97" s="211"/>
      <c r="U97" s="211"/>
    </row>
    <row r="98" spans="2:21" x14ac:dyDescent="0.3">
      <c r="B98" s="197" t="s">
        <v>124</v>
      </c>
    </row>
    <row r="99" spans="2:21" x14ac:dyDescent="0.3">
      <c r="B99" s="197" t="s">
        <v>125</v>
      </c>
    </row>
    <row r="100" spans="2:21" x14ac:dyDescent="0.3">
      <c r="B100" s="197" t="s">
        <v>126</v>
      </c>
    </row>
    <row r="101" spans="2:21" x14ac:dyDescent="0.3">
      <c r="B101" s="197"/>
    </row>
    <row r="102" spans="2:21" x14ac:dyDescent="0.3">
      <c r="B102" s="197"/>
    </row>
    <row r="103" spans="2:21" x14ac:dyDescent="0.3">
      <c r="B103" s="197"/>
    </row>
    <row r="104" spans="2:21" x14ac:dyDescent="0.3">
      <c r="B104" s="197"/>
    </row>
    <row r="105" spans="2:21" x14ac:dyDescent="0.3">
      <c r="B105" s="197"/>
    </row>
    <row r="106" spans="2:21" x14ac:dyDescent="0.3">
      <c r="B106" s="197"/>
    </row>
  </sheetData>
  <mergeCells count="1">
    <mergeCell ref="R8:U8"/>
  </mergeCells>
  <pageMargins left="0.1" right="0.1" top="1" bottom="1" header="0.5" footer="0.5"/>
  <pageSetup fitToHeight="0" orientation="landscape" r:id="rId1"/>
  <headerFooter>
    <oddHeader>&amp;CCape Cod Commission
Section 208 Plan Update
Cost/Revenue Model&amp;R&amp;A</oddHeader>
    <oddFooter>&amp;F&amp;RPage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O104"/>
  <sheetViews>
    <sheetView topLeftCell="B1" workbookViewId="0">
      <pane ySplit="2100" activePane="bottomLeft"/>
      <selection activeCell="B1" sqref="B1"/>
      <selection pane="bottomLeft" activeCell="J1" sqref="J1"/>
    </sheetView>
  </sheetViews>
  <sheetFormatPr defaultRowHeight="14.4" x14ac:dyDescent="0.3"/>
  <cols>
    <col min="1" max="1" width="5.81640625" style="8" hidden="1" customWidth="1"/>
    <col min="2" max="2" width="7.453125" style="182" customWidth="1"/>
    <col min="3" max="3" width="0.453125" style="181" customWidth="1"/>
    <col min="4" max="4" width="10.81640625" style="182" bestFit="1" customWidth="1"/>
    <col min="5" max="5" width="0.453125" style="181" customWidth="1"/>
    <col min="6" max="6" width="9.90625" style="181" bestFit="1" customWidth="1"/>
    <col min="7" max="7" width="0.453125" style="181" customWidth="1"/>
    <col min="8" max="8" width="10.81640625" style="181" bestFit="1" customWidth="1"/>
    <col min="9" max="9" width="0.36328125" style="181" customWidth="1"/>
    <col min="10" max="10" width="10.81640625" style="181" bestFit="1" customWidth="1"/>
    <col min="11" max="11" width="4.1796875" style="186" bestFit="1" customWidth="1"/>
    <col min="12" max="12" width="10.54296875" style="181" hidden="1" customWidth="1"/>
    <col min="13" max="13" width="9.6328125" style="181" hidden="1" customWidth="1"/>
    <col min="14" max="14" width="11.36328125" style="181" hidden="1" customWidth="1"/>
    <col min="15" max="15" width="10.54296875" style="181" hidden="1" customWidth="1"/>
    <col min="16" max="255" width="8.90625" style="8"/>
    <col min="256" max="256" width="7.453125" style="8" customWidth="1"/>
    <col min="257" max="257" width="0.453125" style="8" customWidth="1"/>
    <col min="258" max="258" width="10.81640625" style="8" bestFit="1" customWidth="1"/>
    <col min="259" max="259" width="0.453125" style="8" customWidth="1"/>
    <col min="260" max="260" width="9.90625" style="8" bestFit="1" customWidth="1"/>
    <col min="261" max="261" width="0.453125" style="8" customWidth="1"/>
    <col min="262" max="262" width="10.81640625" style="8" bestFit="1" customWidth="1"/>
    <col min="263" max="263" width="0.36328125" style="8" customWidth="1"/>
    <col min="264" max="264" width="10.81640625" style="8" bestFit="1" customWidth="1"/>
    <col min="265" max="265" width="4.1796875" style="8" bestFit="1" customWidth="1"/>
    <col min="266" max="266" width="4.1796875" style="8" customWidth="1"/>
    <col min="267" max="267" width="10.54296875" style="8" bestFit="1" customWidth="1"/>
    <col min="268" max="268" width="9.6328125" style="8" bestFit="1" customWidth="1"/>
    <col min="269" max="269" width="11.36328125" style="8" bestFit="1" customWidth="1"/>
    <col min="270" max="270" width="10.54296875" style="8" bestFit="1" customWidth="1"/>
    <col min="271" max="511" width="8.90625" style="8"/>
    <col min="512" max="512" width="7.453125" style="8" customWidth="1"/>
    <col min="513" max="513" width="0.453125" style="8" customWidth="1"/>
    <col min="514" max="514" width="10.81640625" style="8" bestFit="1" customWidth="1"/>
    <col min="515" max="515" width="0.453125" style="8" customWidth="1"/>
    <col min="516" max="516" width="9.90625" style="8" bestFit="1" customWidth="1"/>
    <col min="517" max="517" width="0.453125" style="8" customWidth="1"/>
    <col min="518" max="518" width="10.81640625" style="8" bestFit="1" customWidth="1"/>
    <col min="519" max="519" width="0.36328125" style="8" customWidth="1"/>
    <col min="520" max="520" width="10.81640625" style="8" bestFit="1" customWidth="1"/>
    <col min="521" max="521" width="4.1796875" style="8" bestFit="1" customWidth="1"/>
    <col min="522" max="522" width="4.1796875" style="8" customWidth="1"/>
    <col min="523" max="523" width="10.54296875" style="8" bestFit="1" customWidth="1"/>
    <col min="524" max="524" width="9.6328125" style="8" bestFit="1" customWidth="1"/>
    <col min="525" max="525" width="11.36328125" style="8" bestFit="1" customWidth="1"/>
    <col min="526" max="526" width="10.54296875" style="8" bestFit="1" customWidth="1"/>
    <col min="527" max="767" width="8.90625" style="8"/>
    <col min="768" max="768" width="7.453125" style="8" customWidth="1"/>
    <col min="769" max="769" width="0.453125" style="8" customWidth="1"/>
    <col min="770" max="770" width="10.81640625" style="8" bestFit="1" customWidth="1"/>
    <col min="771" max="771" width="0.453125" style="8" customWidth="1"/>
    <col min="772" max="772" width="9.90625" style="8" bestFit="1" customWidth="1"/>
    <col min="773" max="773" width="0.453125" style="8" customWidth="1"/>
    <col min="774" max="774" width="10.81640625" style="8" bestFit="1" customWidth="1"/>
    <col min="775" max="775" width="0.36328125" style="8" customWidth="1"/>
    <col min="776" max="776" width="10.81640625" style="8" bestFit="1" customWidth="1"/>
    <col min="777" max="777" width="4.1796875" style="8" bestFit="1" customWidth="1"/>
    <col min="778" max="778" width="4.1796875" style="8" customWidth="1"/>
    <col min="779" max="779" width="10.54296875" style="8" bestFit="1" customWidth="1"/>
    <col min="780" max="780" width="9.6328125" style="8" bestFit="1" customWidth="1"/>
    <col min="781" max="781" width="11.36328125" style="8" bestFit="1" customWidth="1"/>
    <col min="782" max="782" width="10.54296875" style="8" bestFit="1" customWidth="1"/>
    <col min="783" max="1023" width="8.90625" style="8"/>
    <col min="1024" max="1024" width="7.453125" style="8" customWidth="1"/>
    <col min="1025" max="1025" width="0.453125" style="8" customWidth="1"/>
    <col min="1026" max="1026" width="10.81640625" style="8" bestFit="1" customWidth="1"/>
    <col min="1027" max="1027" width="0.453125" style="8" customWidth="1"/>
    <col min="1028" max="1028" width="9.90625" style="8" bestFit="1" customWidth="1"/>
    <col min="1029" max="1029" width="0.453125" style="8" customWidth="1"/>
    <col min="1030" max="1030" width="10.81640625" style="8" bestFit="1" customWidth="1"/>
    <col min="1031" max="1031" width="0.36328125" style="8" customWidth="1"/>
    <col min="1032" max="1032" width="10.81640625" style="8" bestFit="1" customWidth="1"/>
    <col min="1033" max="1033" width="4.1796875" style="8" bestFit="1" customWidth="1"/>
    <col min="1034" max="1034" width="4.1796875" style="8" customWidth="1"/>
    <col min="1035" max="1035" width="10.54296875" style="8" bestFit="1" customWidth="1"/>
    <col min="1036" max="1036" width="9.6328125" style="8" bestFit="1" customWidth="1"/>
    <col min="1037" max="1037" width="11.36328125" style="8" bestFit="1" customWidth="1"/>
    <col min="1038" max="1038" width="10.54296875" style="8" bestFit="1" customWidth="1"/>
    <col min="1039" max="1279" width="8.90625" style="8"/>
    <col min="1280" max="1280" width="7.453125" style="8" customWidth="1"/>
    <col min="1281" max="1281" width="0.453125" style="8" customWidth="1"/>
    <col min="1282" max="1282" width="10.81640625" style="8" bestFit="1" customWidth="1"/>
    <col min="1283" max="1283" width="0.453125" style="8" customWidth="1"/>
    <col min="1284" max="1284" width="9.90625" style="8" bestFit="1" customWidth="1"/>
    <col min="1285" max="1285" width="0.453125" style="8" customWidth="1"/>
    <col min="1286" max="1286" width="10.81640625" style="8" bestFit="1" customWidth="1"/>
    <col min="1287" max="1287" width="0.36328125" style="8" customWidth="1"/>
    <col min="1288" max="1288" width="10.81640625" style="8" bestFit="1" customWidth="1"/>
    <col min="1289" max="1289" width="4.1796875" style="8" bestFit="1" customWidth="1"/>
    <col min="1290" max="1290" width="4.1796875" style="8" customWidth="1"/>
    <col min="1291" max="1291" width="10.54296875" style="8" bestFit="1" customWidth="1"/>
    <col min="1292" max="1292" width="9.6328125" style="8" bestFit="1" customWidth="1"/>
    <col min="1293" max="1293" width="11.36328125" style="8" bestFit="1" customWidth="1"/>
    <col min="1294" max="1294" width="10.54296875" style="8" bestFit="1" customWidth="1"/>
    <col min="1295" max="1535" width="8.90625" style="8"/>
    <col min="1536" max="1536" width="7.453125" style="8" customWidth="1"/>
    <col min="1537" max="1537" width="0.453125" style="8" customWidth="1"/>
    <col min="1538" max="1538" width="10.81640625" style="8" bestFit="1" customWidth="1"/>
    <col min="1539" max="1539" width="0.453125" style="8" customWidth="1"/>
    <col min="1540" max="1540" width="9.90625" style="8" bestFit="1" customWidth="1"/>
    <col min="1541" max="1541" width="0.453125" style="8" customWidth="1"/>
    <col min="1542" max="1542" width="10.81640625" style="8" bestFit="1" customWidth="1"/>
    <col min="1543" max="1543" width="0.36328125" style="8" customWidth="1"/>
    <col min="1544" max="1544" width="10.81640625" style="8" bestFit="1" customWidth="1"/>
    <col min="1545" max="1545" width="4.1796875" style="8" bestFit="1" customWidth="1"/>
    <col min="1546" max="1546" width="4.1796875" style="8" customWidth="1"/>
    <col min="1547" max="1547" width="10.54296875" style="8" bestFit="1" customWidth="1"/>
    <col min="1548" max="1548" width="9.6328125" style="8" bestFit="1" customWidth="1"/>
    <col min="1549" max="1549" width="11.36328125" style="8" bestFit="1" customWidth="1"/>
    <col min="1550" max="1550" width="10.54296875" style="8" bestFit="1" customWidth="1"/>
    <col min="1551" max="1791" width="8.90625" style="8"/>
    <col min="1792" max="1792" width="7.453125" style="8" customWidth="1"/>
    <col min="1793" max="1793" width="0.453125" style="8" customWidth="1"/>
    <col min="1794" max="1794" width="10.81640625" style="8" bestFit="1" customWidth="1"/>
    <col min="1795" max="1795" width="0.453125" style="8" customWidth="1"/>
    <col min="1796" max="1796" width="9.90625" style="8" bestFit="1" customWidth="1"/>
    <col min="1797" max="1797" width="0.453125" style="8" customWidth="1"/>
    <col min="1798" max="1798" width="10.81640625" style="8" bestFit="1" customWidth="1"/>
    <col min="1799" max="1799" width="0.36328125" style="8" customWidth="1"/>
    <col min="1800" max="1800" width="10.81640625" style="8" bestFit="1" customWidth="1"/>
    <col min="1801" max="1801" width="4.1796875" style="8" bestFit="1" customWidth="1"/>
    <col min="1802" max="1802" width="4.1796875" style="8" customWidth="1"/>
    <col min="1803" max="1803" width="10.54296875" style="8" bestFit="1" customWidth="1"/>
    <col min="1804" max="1804" width="9.6328125" style="8" bestFit="1" customWidth="1"/>
    <col min="1805" max="1805" width="11.36328125" style="8" bestFit="1" customWidth="1"/>
    <col min="1806" max="1806" width="10.54296875" style="8" bestFit="1" customWidth="1"/>
    <col min="1807" max="2047" width="8.90625" style="8"/>
    <col min="2048" max="2048" width="7.453125" style="8" customWidth="1"/>
    <col min="2049" max="2049" width="0.453125" style="8" customWidth="1"/>
    <col min="2050" max="2050" width="10.81640625" style="8" bestFit="1" customWidth="1"/>
    <col min="2051" max="2051" width="0.453125" style="8" customWidth="1"/>
    <col min="2052" max="2052" width="9.90625" style="8" bestFit="1" customWidth="1"/>
    <col min="2053" max="2053" width="0.453125" style="8" customWidth="1"/>
    <col min="2054" max="2054" width="10.81640625" style="8" bestFit="1" customWidth="1"/>
    <col min="2055" max="2055" width="0.36328125" style="8" customWidth="1"/>
    <col min="2056" max="2056" width="10.81640625" style="8" bestFit="1" customWidth="1"/>
    <col min="2057" max="2057" width="4.1796875" style="8" bestFit="1" customWidth="1"/>
    <col min="2058" max="2058" width="4.1796875" style="8" customWidth="1"/>
    <col min="2059" max="2059" width="10.54296875" style="8" bestFit="1" customWidth="1"/>
    <col min="2060" max="2060" width="9.6328125" style="8" bestFit="1" customWidth="1"/>
    <col min="2061" max="2061" width="11.36328125" style="8" bestFit="1" customWidth="1"/>
    <col min="2062" max="2062" width="10.54296875" style="8" bestFit="1" customWidth="1"/>
    <col min="2063" max="2303" width="8.90625" style="8"/>
    <col min="2304" max="2304" width="7.453125" style="8" customWidth="1"/>
    <col min="2305" max="2305" width="0.453125" style="8" customWidth="1"/>
    <col min="2306" max="2306" width="10.81640625" style="8" bestFit="1" customWidth="1"/>
    <col min="2307" max="2307" width="0.453125" style="8" customWidth="1"/>
    <col min="2308" max="2308" width="9.90625" style="8" bestFit="1" customWidth="1"/>
    <col min="2309" max="2309" width="0.453125" style="8" customWidth="1"/>
    <col min="2310" max="2310" width="10.81640625" style="8" bestFit="1" customWidth="1"/>
    <col min="2311" max="2311" width="0.36328125" style="8" customWidth="1"/>
    <col min="2312" max="2312" width="10.81640625" style="8" bestFit="1" customWidth="1"/>
    <col min="2313" max="2313" width="4.1796875" style="8" bestFit="1" customWidth="1"/>
    <col min="2314" max="2314" width="4.1796875" style="8" customWidth="1"/>
    <col min="2315" max="2315" width="10.54296875" style="8" bestFit="1" customWidth="1"/>
    <col min="2316" max="2316" width="9.6328125" style="8" bestFit="1" customWidth="1"/>
    <col min="2317" max="2317" width="11.36328125" style="8" bestFit="1" customWidth="1"/>
    <col min="2318" max="2318" width="10.54296875" style="8" bestFit="1" customWidth="1"/>
    <col min="2319" max="2559" width="8.90625" style="8"/>
    <col min="2560" max="2560" width="7.453125" style="8" customWidth="1"/>
    <col min="2561" max="2561" width="0.453125" style="8" customWidth="1"/>
    <col min="2562" max="2562" width="10.81640625" style="8" bestFit="1" customWidth="1"/>
    <col min="2563" max="2563" width="0.453125" style="8" customWidth="1"/>
    <col min="2564" max="2564" width="9.90625" style="8" bestFit="1" customWidth="1"/>
    <col min="2565" max="2565" width="0.453125" style="8" customWidth="1"/>
    <col min="2566" max="2566" width="10.81640625" style="8" bestFit="1" customWidth="1"/>
    <col min="2567" max="2567" width="0.36328125" style="8" customWidth="1"/>
    <col min="2568" max="2568" width="10.81640625" style="8" bestFit="1" customWidth="1"/>
    <col min="2569" max="2569" width="4.1796875" style="8" bestFit="1" customWidth="1"/>
    <col min="2570" max="2570" width="4.1796875" style="8" customWidth="1"/>
    <col min="2571" max="2571" width="10.54296875" style="8" bestFit="1" customWidth="1"/>
    <col min="2572" max="2572" width="9.6328125" style="8" bestFit="1" customWidth="1"/>
    <col min="2573" max="2573" width="11.36328125" style="8" bestFit="1" customWidth="1"/>
    <col min="2574" max="2574" width="10.54296875" style="8" bestFit="1" customWidth="1"/>
    <col min="2575" max="2815" width="8.90625" style="8"/>
    <col min="2816" max="2816" width="7.453125" style="8" customWidth="1"/>
    <col min="2817" max="2817" width="0.453125" style="8" customWidth="1"/>
    <col min="2818" max="2818" width="10.81640625" style="8" bestFit="1" customWidth="1"/>
    <col min="2819" max="2819" width="0.453125" style="8" customWidth="1"/>
    <col min="2820" max="2820" width="9.90625" style="8" bestFit="1" customWidth="1"/>
    <col min="2821" max="2821" width="0.453125" style="8" customWidth="1"/>
    <col min="2822" max="2822" width="10.81640625" style="8" bestFit="1" customWidth="1"/>
    <col min="2823" max="2823" width="0.36328125" style="8" customWidth="1"/>
    <col min="2824" max="2824" width="10.81640625" style="8" bestFit="1" customWidth="1"/>
    <col min="2825" max="2825" width="4.1796875" style="8" bestFit="1" customWidth="1"/>
    <col min="2826" max="2826" width="4.1796875" style="8" customWidth="1"/>
    <col min="2827" max="2827" width="10.54296875" style="8" bestFit="1" customWidth="1"/>
    <col min="2828" max="2828" width="9.6328125" style="8" bestFit="1" customWidth="1"/>
    <col min="2829" max="2829" width="11.36328125" style="8" bestFit="1" customWidth="1"/>
    <col min="2830" max="2830" width="10.54296875" style="8" bestFit="1" customWidth="1"/>
    <col min="2831" max="3071" width="8.90625" style="8"/>
    <col min="3072" max="3072" width="7.453125" style="8" customWidth="1"/>
    <col min="3073" max="3073" width="0.453125" style="8" customWidth="1"/>
    <col min="3074" max="3074" width="10.81640625" style="8" bestFit="1" customWidth="1"/>
    <col min="3075" max="3075" width="0.453125" style="8" customWidth="1"/>
    <col min="3076" max="3076" width="9.90625" style="8" bestFit="1" customWidth="1"/>
    <col min="3077" max="3077" width="0.453125" style="8" customWidth="1"/>
    <col min="3078" max="3078" width="10.81640625" style="8" bestFit="1" customWidth="1"/>
    <col min="3079" max="3079" width="0.36328125" style="8" customWidth="1"/>
    <col min="3080" max="3080" width="10.81640625" style="8" bestFit="1" customWidth="1"/>
    <col min="3081" max="3081" width="4.1796875" style="8" bestFit="1" customWidth="1"/>
    <col min="3082" max="3082" width="4.1796875" style="8" customWidth="1"/>
    <col min="3083" max="3083" width="10.54296875" style="8" bestFit="1" customWidth="1"/>
    <col min="3084" max="3084" width="9.6328125" style="8" bestFit="1" customWidth="1"/>
    <col min="3085" max="3085" width="11.36328125" style="8" bestFit="1" customWidth="1"/>
    <col min="3086" max="3086" width="10.54296875" style="8" bestFit="1" customWidth="1"/>
    <col min="3087" max="3327" width="8.90625" style="8"/>
    <col min="3328" max="3328" width="7.453125" style="8" customWidth="1"/>
    <col min="3329" max="3329" width="0.453125" style="8" customWidth="1"/>
    <col min="3330" max="3330" width="10.81640625" style="8" bestFit="1" customWidth="1"/>
    <col min="3331" max="3331" width="0.453125" style="8" customWidth="1"/>
    <col min="3332" max="3332" width="9.90625" style="8" bestFit="1" customWidth="1"/>
    <col min="3333" max="3333" width="0.453125" style="8" customWidth="1"/>
    <col min="3334" max="3334" width="10.81640625" style="8" bestFit="1" customWidth="1"/>
    <col min="3335" max="3335" width="0.36328125" style="8" customWidth="1"/>
    <col min="3336" max="3336" width="10.81640625" style="8" bestFit="1" customWidth="1"/>
    <col min="3337" max="3337" width="4.1796875" style="8" bestFit="1" customWidth="1"/>
    <col min="3338" max="3338" width="4.1796875" style="8" customWidth="1"/>
    <col min="3339" max="3339" width="10.54296875" style="8" bestFit="1" customWidth="1"/>
    <col min="3340" max="3340" width="9.6328125" style="8" bestFit="1" customWidth="1"/>
    <col min="3341" max="3341" width="11.36328125" style="8" bestFit="1" customWidth="1"/>
    <col min="3342" max="3342" width="10.54296875" style="8" bestFit="1" customWidth="1"/>
    <col min="3343" max="3583" width="8.90625" style="8"/>
    <col min="3584" max="3584" width="7.453125" style="8" customWidth="1"/>
    <col min="3585" max="3585" width="0.453125" style="8" customWidth="1"/>
    <col min="3586" max="3586" width="10.81640625" style="8" bestFit="1" customWidth="1"/>
    <col min="3587" max="3587" width="0.453125" style="8" customWidth="1"/>
    <col min="3588" max="3588" width="9.90625" style="8" bestFit="1" customWidth="1"/>
    <col min="3589" max="3589" width="0.453125" style="8" customWidth="1"/>
    <col min="3590" max="3590" width="10.81640625" style="8" bestFit="1" customWidth="1"/>
    <col min="3591" max="3591" width="0.36328125" style="8" customWidth="1"/>
    <col min="3592" max="3592" width="10.81640625" style="8" bestFit="1" customWidth="1"/>
    <col min="3593" max="3593" width="4.1796875" style="8" bestFit="1" customWidth="1"/>
    <col min="3594" max="3594" width="4.1796875" style="8" customWidth="1"/>
    <col min="3595" max="3595" width="10.54296875" style="8" bestFit="1" customWidth="1"/>
    <col min="3596" max="3596" width="9.6328125" style="8" bestFit="1" customWidth="1"/>
    <col min="3597" max="3597" width="11.36328125" style="8" bestFit="1" customWidth="1"/>
    <col min="3598" max="3598" width="10.54296875" style="8" bestFit="1" customWidth="1"/>
    <col min="3599" max="3839" width="8.90625" style="8"/>
    <col min="3840" max="3840" width="7.453125" style="8" customWidth="1"/>
    <col min="3841" max="3841" width="0.453125" style="8" customWidth="1"/>
    <col min="3842" max="3842" width="10.81640625" style="8" bestFit="1" customWidth="1"/>
    <col min="3843" max="3843" width="0.453125" style="8" customWidth="1"/>
    <col min="3844" max="3844" width="9.90625" style="8" bestFit="1" customWidth="1"/>
    <col min="3845" max="3845" width="0.453125" style="8" customWidth="1"/>
    <col min="3846" max="3846" width="10.81640625" style="8" bestFit="1" customWidth="1"/>
    <col min="3847" max="3847" width="0.36328125" style="8" customWidth="1"/>
    <col min="3848" max="3848" width="10.81640625" style="8" bestFit="1" customWidth="1"/>
    <col min="3849" max="3849" width="4.1796875" style="8" bestFit="1" customWidth="1"/>
    <col min="3850" max="3850" width="4.1796875" style="8" customWidth="1"/>
    <col min="3851" max="3851" width="10.54296875" style="8" bestFit="1" customWidth="1"/>
    <col min="3852" max="3852" width="9.6328125" style="8" bestFit="1" customWidth="1"/>
    <col min="3853" max="3853" width="11.36328125" style="8" bestFit="1" customWidth="1"/>
    <col min="3854" max="3854" width="10.54296875" style="8" bestFit="1" customWidth="1"/>
    <col min="3855" max="4095" width="8.90625" style="8"/>
    <col min="4096" max="4096" width="7.453125" style="8" customWidth="1"/>
    <col min="4097" max="4097" width="0.453125" style="8" customWidth="1"/>
    <col min="4098" max="4098" width="10.81640625" style="8" bestFit="1" customWidth="1"/>
    <col min="4099" max="4099" width="0.453125" style="8" customWidth="1"/>
    <col min="4100" max="4100" width="9.90625" style="8" bestFit="1" customWidth="1"/>
    <col min="4101" max="4101" width="0.453125" style="8" customWidth="1"/>
    <col min="4102" max="4102" width="10.81640625" style="8" bestFit="1" customWidth="1"/>
    <col min="4103" max="4103" width="0.36328125" style="8" customWidth="1"/>
    <col min="4104" max="4104" width="10.81640625" style="8" bestFit="1" customWidth="1"/>
    <col min="4105" max="4105" width="4.1796875" style="8" bestFit="1" customWidth="1"/>
    <col min="4106" max="4106" width="4.1796875" style="8" customWidth="1"/>
    <col min="4107" max="4107" width="10.54296875" style="8" bestFit="1" customWidth="1"/>
    <col min="4108" max="4108" width="9.6328125" style="8" bestFit="1" customWidth="1"/>
    <col min="4109" max="4109" width="11.36328125" style="8" bestFit="1" customWidth="1"/>
    <col min="4110" max="4110" width="10.54296875" style="8" bestFit="1" customWidth="1"/>
    <col min="4111" max="4351" width="8.90625" style="8"/>
    <col min="4352" max="4352" width="7.453125" style="8" customWidth="1"/>
    <col min="4353" max="4353" width="0.453125" style="8" customWidth="1"/>
    <col min="4354" max="4354" width="10.81640625" style="8" bestFit="1" customWidth="1"/>
    <col min="4355" max="4355" width="0.453125" style="8" customWidth="1"/>
    <col min="4356" max="4356" width="9.90625" style="8" bestFit="1" customWidth="1"/>
    <col min="4357" max="4357" width="0.453125" style="8" customWidth="1"/>
    <col min="4358" max="4358" width="10.81640625" style="8" bestFit="1" customWidth="1"/>
    <col min="4359" max="4359" width="0.36328125" style="8" customWidth="1"/>
    <col min="4360" max="4360" width="10.81640625" style="8" bestFit="1" customWidth="1"/>
    <col min="4361" max="4361" width="4.1796875" style="8" bestFit="1" customWidth="1"/>
    <col min="4362" max="4362" width="4.1796875" style="8" customWidth="1"/>
    <col min="4363" max="4363" width="10.54296875" style="8" bestFit="1" customWidth="1"/>
    <col min="4364" max="4364" width="9.6328125" style="8" bestFit="1" customWidth="1"/>
    <col min="4365" max="4365" width="11.36328125" style="8" bestFit="1" customWidth="1"/>
    <col min="4366" max="4366" width="10.54296875" style="8" bestFit="1" customWidth="1"/>
    <col min="4367" max="4607" width="8.90625" style="8"/>
    <col min="4608" max="4608" width="7.453125" style="8" customWidth="1"/>
    <col min="4609" max="4609" width="0.453125" style="8" customWidth="1"/>
    <col min="4610" max="4610" width="10.81640625" style="8" bestFit="1" customWidth="1"/>
    <col min="4611" max="4611" width="0.453125" style="8" customWidth="1"/>
    <col min="4612" max="4612" width="9.90625" style="8" bestFit="1" customWidth="1"/>
    <col min="4613" max="4613" width="0.453125" style="8" customWidth="1"/>
    <col min="4614" max="4614" width="10.81640625" style="8" bestFit="1" customWidth="1"/>
    <col min="4615" max="4615" width="0.36328125" style="8" customWidth="1"/>
    <col min="4616" max="4616" width="10.81640625" style="8" bestFit="1" customWidth="1"/>
    <col min="4617" max="4617" width="4.1796875" style="8" bestFit="1" customWidth="1"/>
    <col min="4618" max="4618" width="4.1796875" style="8" customWidth="1"/>
    <col min="4619" max="4619" width="10.54296875" style="8" bestFit="1" customWidth="1"/>
    <col min="4620" max="4620" width="9.6328125" style="8" bestFit="1" customWidth="1"/>
    <col min="4621" max="4621" width="11.36328125" style="8" bestFit="1" customWidth="1"/>
    <col min="4622" max="4622" width="10.54296875" style="8" bestFit="1" customWidth="1"/>
    <col min="4623" max="4863" width="8.90625" style="8"/>
    <col min="4864" max="4864" width="7.453125" style="8" customWidth="1"/>
    <col min="4865" max="4865" width="0.453125" style="8" customWidth="1"/>
    <col min="4866" max="4866" width="10.81640625" style="8" bestFit="1" customWidth="1"/>
    <col min="4867" max="4867" width="0.453125" style="8" customWidth="1"/>
    <col min="4868" max="4868" width="9.90625" style="8" bestFit="1" customWidth="1"/>
    <col min="4869" max="4869" width="0.453125" style="8" customWidth="1"/>
    <col min="4870" max="4870" width="10.81640625" style="8" bestFit="1" customWidth="1"/>
    <col min="4871" max="4871" width="0.36328125" style="8" customWidth="1"/>
    <col min="4872" max="4872" width="10.81640625" style="8" bestFit="1" customWidth="1"/>
    <col min="4873" max="4873" width="4.1796875" style="8" bestFit="1" customWidth="1"/>
    <col min="4874" max="4874" width="4.1796875" style="8" customWidth="1"/>
    <col min="4875" max="4875" width="10.54296875" style="8" bestFit="1" customWidth="1"/>
    <col min="4876" max="4876" width="9.6328125" style="8" bestFit="1" customWidth="1"/>
    <col min="4877" max="4877" width="11.36328125" style="8" bestFit="1" customWidth="1"/>
    <col min="4878" max="4878" width="10.54296875" style="8" bestFit="1" customWidth="1"/>
    <col min="4879" max="5119" width="8.90625" style="8"/>
    <col min="5120" max="5120" width="7.453125" style="8" customWidth="1"/>
    <col min="5121" max="5121" width="0.453125" style="8" customWidth="1"/>
    <col min="5122" max="5122" width="10.81640625" style="8" bestFit="1" customWidth="1"/>
    <col min="5123" max="5123" width="0.453125" style="8" customWidth="1"/>
    <col min="5124" max="5124" width="9.90625" style="8" bestFit="1" customWidth="1"/>
    <col min="5125" max="5125" width="0.453125" style="8" customWidth="1"/>
    <col min="5126" max="5126" width="10.81640625" style="8" bestFit="1" customWidth="1"/>
    <col min="5127" max="5127" width="0.36328125" style="8" customWidth="1"/>
    <col min="5128" max="5128" width="10.81640625" style="8" bestFit="1" customWidth="1"/>
    <col min="5129" max="5129" width="4.1796875" style="8" bestFit="1" customWidth="1"/>
    <col min="5130" max="5130" width="4.1796875" style="8" customWidth="1"/>
    <col min="5131" max="5131" width="10.54296875" style="8" bestFit="1" customWidth="1"/>
    <col min="5132" max="5132" width="9.6328125" style="8" bestFit="1" customWidth="1"/>
    <col min="5133" max="5133" width="11.36328125" style="8" bestFit="1" customWidth="1"/>
    <col min="5134" max="5134" width="10.54296875" style="8" bestFit="1" customWidth="1"/>
    <col min="5135" max="5375" width="8.90625" style="8"/>
    <col min="5376" max="5376" width="7.453125" style="8" customWidth="1"/>
    <col min="5377" max="5377" width="0.453125" style="8" customWidth="1"/>
    <col min="5378" max="5378" width="10.81640625" style="8" bestFit="1" customWidth="1"/>
    <col min="5379" max="5379" width="0.453125" style="8" customWidth="1"/>
    <col min="5380" max="5380" width="9.90625" style="8" bestFit="1" customWidth="1"/>
    <col min="5381" max="5381" width="0.453125" style="8" customWidth="1"/>
    <col min="5382" max="5382" width="10.81640625" style="8" bestFit="1" customWidth="1"/>
    <col min="5383" max="5383" width="0.36328125" style="8" customWidth="1"/>
    <col min="5384" max="5384" width="10.81640625" style="8" bestFit="1" customWidth="1"/>
    <col min="5385" max="5385" width="4.1796875" style="8" bestFit="1" customWidth="1"/>
    <col min="5386" max="5386" width="4.1796875" style="8" customWidth="1"/>
    <col min="5387" max="5387" width="10.54296875" style="8" bestFit="1" customWidth="1"/>
    <col min="5388" max="5388" width="9.6328125" style="8" bestFit="1" customWidth="1"/>
    <col min="5389" max="5389" width="11.36328125" style="8" bestFit="1" customWidth="1"/>
    <col min="5390" max="5390" width="10.54296875" style="8" bestFit="1" customWidth="1"/>
    <col min="5391" max="5631" width="8.90625" style="8"/>
    <col min="5632" max="5632" width="7.453125" style="8" customWidth="1"/>
    <col min="5633" max="5633" width="0.453125" style="8" customWidth="1"/>
    <col min="5634" max="5634" width="10.81640625" style="8" bestFit="1" customWidth="1"/>
    <col min="5635" max="5635" width="0.453125" style="8" customWidth="1"/>
    <col min="5636" max="5636" width="9.90625" style="8" bestFit="1" customWidth="1"/>
    <col min="5637" max="5637" width="0.453125" style="8" customWidth="1"/>
    <col min="5638" max="5638" width="10.81640625" style="8" bestFit="1" customWidth="1"/>
    <col min="5639" max="5639" width="0.36328125" style="8" customWidth="1"/>
    <col min="5640" max="5640" width="10.81640625" style="8" bestFit="1" customWidth="1"/>
    <col min="5641" max="5641" width="4.1796875" style="8" bestFit="1" customWidth="1"/>
    <col min="5642" max="5642" width="4.1796875" style="8" customWidth="1"/>
    <col min="5643" max="5643" width="10.54296875" style="8" bestFit="1" customWidth="1"/>
    <col min="5644" max="5644" width="9.6328125" style="8" bestFit="1" customWidth="1"/>
    <col min="5645" max="5645" width="11.36328125" style="8" bestFit="1" customWidth="1"/>
    <col min="5646" max="5646" width="10.54296875" style="8" bestFit="1" customWidth="1"/>
    <col min="5647" max="5887" width="8.90625" style="8"/>
    <col min="5888" max="5888" width="7.453125" style="8" customWidth="1"/>
    <col min="5889" max="5889" width="0.453125" style="8" customWidth="1"/>
    <col min="5890" max="5890" width="10.81640625" style="8" bestFit="1" customWidth="1"/>
    <col min="5891" max="5891" width="0.453125" style="8" customWidth="1"/>
    <col min="5892" max="5892" width="9.90625" style="8" bestFit="1" customWidth="1"/>
    <col min="5893" max="5893" width="0.453125" style="8" customWidth="1"/>
    <col min="5894" max="5894" width="10.81640625" style="8" bestFit="1" customWidth="1"/>
    <col min="5895" max="5895" width="0.36328125" style="8" customWidth="1"/>
    <col min="5896" max="5896" width="10.81640625" style="8" bestFit="1" customWidth="1"/>
    <col min="5897" max="5897" width="4.1796875" style="8" bestFit="1" customWidth="1"/>
    <col min="5898" max="5898" width="4.1796875" style="8" customWidth="1"/>
    <col min="5899" max="5899" width="10.54296875" style="8" bestFit="1" customWidth="1"/>
    <col min="5900" max="5900" width="9.6328125" style="8" bestFit="1" customWidth="1"/>
    <col min="5901" max="5901" width="11.36328125" style="8" bestFit="1" customWidth="1"/>
    <col min="5902" max="5902" width="10.54296875" style="8" bestFit="1" customWidth="1"/>
    <col min="5903" max="6143" width="8.90625" style="8"/>
    <col min="6144" max="6144" width="7.453125" style="8" customWidth="1"/>
    <col min="6145" max="6145" width="0.453125" style="8" customWidth="1"/>
    <col min="6146" max="6146" width="10.81640625" style="8" bestFit="1" customWidth="1"/>
    <col min="6147" max="6147" width="0.453125" style="8" customWidth="1"/>
    <col min="6148" max="6148" width="9.90625" style="8" bestFit="1" customWidth="1"/>
    <col min="6149" max="6149" width="0.453125" style="8" customWidth="1"/>
    <col min="6150" max="6150" width="10.81640625" style="8" bestFit="1" customWidth="1"/>
    <col min="6151" max="6151" width="0.36328125" style="8" customWidth="1"/>
    <col min="6152" max="6152" width="10.81640625" style="8" bestFit="1" customWidth="1"/>
    <col min="6153" max="6153" width="4.1796875" style="8" bestFit="1" customWidth="1"/>
    <col min="6154" max="6154" width="4.1796875" style="8" customWidth="1"/>
    <col min="6155" max="6155" width="10.54296875" style="8" bestFit="1" customWidth="1"/>
    <col min="6156" max="6156" width="9.6328125" style="8" bestFit="1" customWidth="1"/>
    <col min="6157" max="6157" width="11.36328125" style="8" bestFit="1" customWidth="1"/>
    <col min="6158" max="6158" width="10.54296875" style="8" bestFit="1" customWidth="1"/>
    <col min="6159" max="6399" width="8.90625" style="8"/>
    <col min="6400" max="6400" width="7.453125" style="8" customWidth="1"/>
    <col min="6401" max="6401" width="0.453125" style="8" customWidth="1"/>
    <col min="6402" max="6402" width="10.81640625" style="8" bestFit="1" customWidth="1"/>
    <col min="6403" max="6403" width="0.453125" style="8" customWidth="1"/>
    <col min="6404" max="6404" width="9.90625" style="8" bestFit="1" customWidth="1"/>
    <col min="6405" max="6405" width="0.453125" style="8" customWidth="1"/>
    <col min="6406" max="6406" width="10.81640625" style="8" bestFit="1" customWidth="1"/>
    <col min="6407" max="6407" width="0.36328125" style="8" customWidth="1"/>
    <col min="6408" max="6408" width="10.81640625" style="8" bestFit="1" customWidth="1"/>
    <col min="6409" max="6409" width="4.1796875" style="8" bestFit="1" customWidth="1"/>
    <col min="6410" max="6410" width="4.1796875" style="8" customWidth="1"/>
    <col min="6411" max="6411" width="10.54296875" style="8" bestFit="1" customWidth="1"/>
    <col min="6412" max="6412" width="9.6328125" style="8" bestFit="1" customWidth="1"/>
    <col min="6413" max="6413" width="11.36328125" style="8" bestFit="1" customWidth="1"/>
    <col min="6414" max="6414" width="10.54296875" style="8" bestFit="1" customWidth="1"/>
    <col min="6415" max="6655" width="8.90625" style="8"/>
    <col min="6656" max="6656" width="7.453125" style="8" customWidth="1"/>
    <col min="6657" max="6657" width="0.453125" style="8" customWidth="1"/>
    <col min="6658" max="6658" width="10.81640625" style="8" bestFit="1" customWidth="1"/>
    <col min="6659" max="6659" width="0.453125" style="8" customWidth="1"/>
    <col min="6660" max="6660" width="9.90625" style="8" bestFit="1" customWidth="1"/>
    <col min="6661" max="6661" width="0.453125" style="8" customWidth="1"/>
    <col min="6662" max="6662" width="10.81640625" style="8" bestFit="1" customWidth="1"/>
    <col min="6663" max="6663" width="0.36328125" style="8" customWidth="1"/>
    <col min="6664" max="6664" width="10.81640625" style="8" bestFit="1" customWidth="1"/>
    <col min="6665" max="6665" width="4.1796875" style="8" bestFit="1" customWidth="1"/>
    <col min="6666" max="6666" width="4.1796875" style="8" customWidth="1"/>
    <col min="6667" max="6667" width="10.54296875" style="8" bestFit="1" customWidth="1"/>
    <col min="6668" max="6668" width="9.6328125" style="8" bestFit="1" customWidth="1"/>
    <col min="6669" max="6669" width="11.36328125" style="8" bestFit="1" customWidth="1"/>
    <col min="6670" max="6670" width="10.54296875" style="8" bestFit="1" customWidth="1"/>
    <col min="6671" max="6911" width="8.90625" style="8"/>
    <col min="6912" max="6912" width="7.453125" style="8" customWidth="1"/>
    <col min="6913" max="6913" width="0.453125" style="8" customWidth="1"/>
    <col min="6914" max="6914" width="10.81640625" style="8" bestFit="1" customWidth="1"/>
    <col min="6915" max="6915" width="0.453125" style="8" customWidth="1"/>
    <col min="6916" max="6916" width="9.90625" style="8" bestFit="1" customWidth="1"/>
    <col min="6917" max="6917" width="0.453125" style="8" customWidth="1"/>
    <col min="6918" max="6918" width="10.81640625" style="8" bestFit="1" customWidth="1"/>
    <col min="6919" max="6919" width="0.36328125" style="8" customWidth="1"/>
    <col min="6920" max="6920" width="10.81640625" style="8" bestFit="1" customWidth="1"/>
    <col min="6921" max="6921" width="4.1796875" style="8" bestFit="1" customWidth="1"/>
    <col min="6922" max="6922" width="4.1796875" style="8" customWidth="1"/>
    <col min="6923" max="6923" width="10.54296875" style="8" bestFit="1" customWidth="1"/>
    <col min="6924" max="6924" width="9.6328125" style="8" bestFit="1" customWidth="1"/>
    <col min="6925" max="6925" width="11.36328125" style="8" bestFit="1" customWidth="1"/>
    <col min="6926" max="6926" width="10.54296875" style="8" bestFit="1" customWidth="1"/>
    <col min="6927" max="7167" width="8.90625" style="8"/>
    <col min="7168" max="7168" width="7.453125" style="8" customWidth="1"/>
    <col min="7169" max="7169" width="0.453125" style="8" customWidth="1"/>
    <col min="7170" max="7170" width="10.81640625" style="8" bestFit="1" customWidth="1"/>
    <col min="7171" max="7171" width="0.453125" style="8" customWidth="1"/>
    <col min="7172" max="7172" width="9.90625" style="8" bestFit="1" customWidth="1"/>
    <col min="7173" max="7173" width="0.453125" style="8" customWidth="1"/>
    <col min="7174" max="7174" width="10.81640625" style="8" bestFit="1" customWidth="1"/>
    <col min="7175" max="7175" width="0.36328125" style="8" customWidth="1"/>
    <col min="7176" max="7176" width="10.81640625" style="8" bestFit="1" customWidth="1"/>
    <col min="7177" max="7177" width="4.1796875" style="8" bestFit="1" customWidth="1"/>
    <col min="7178" max="7178" width="4.1796875" style="8" customWidth="1"/>
    <col min="7179" max="7179" width="10.54296875" style="8" bestFit="1" customWidth="1"/>
    <col min="7180" max="7180" width="9.6328125" style="8" bestFit="1" customWidth="1"/>
    <col min="7181" max="7181" width="11.36328125" style="8" bestFit="1" customWidth="1"/>
    <col min="7182" max="7182" width="10.54296875" style="8" bestFit="1" customWidth="1"/>
    <col min="7183" max="7423" width="8.90625" style="8"/>
    <col min="7424" max="7424" width="7.453125" style="8" customWidth="1"/>
    <col min="7425" max="7425" width="0.453125" style="8" customWidth="1"/>
    <col min="7426" max="7426" width="10.81640625" style="8" bestFit="1" customWidth="1"/>
    <col min="7427" max="7427" width="0.453125" style="8" customWidth="1"/>
    <col min="7428" max="7428" width="9.90625" style="8" bestFit="1" customWidth="1"/>
    <col min="7429" max="7429" width="0.453125" style="8" customWidth="1"/>
    <col min="7430" max="7430" width="10.81640625" style="8" bestFit="1" customWidth="1"/>
    <col min="7431" max="7431" width="0.36328125" style="8" customWidth="1"/>
    <col min="7432" max="7432" width="10.81640625" style="8" bestFit="1" customWidth="1"/>
    <col min="7433" max="7433" width="4.1796875" style="8" bestFit="1" customWidth="1"/>
    <col min="7434" max="7434" width="4.1796875" style="8" customWidth="1"/>
    <col min="7435" max="7435" width="10.54296875" style="8" bestFit="1" customWidth="1"/>
    <col min="7436" max="7436" width="9.6328125" style="8" bestFit="1" customWidth="1"/>
    <col min="7437" max="7437" width="11.36328125" style="8" bestFit="1" customWidth="1"/>
    <col min="7438" max="7438" width="10.54296875" style="8" bestFit="1" customWidth="1"/>
    <col min="7439" max="7679" width="8.90625" style="8"/>
    <col min="7680" max="7680" width="7.453125" style="8" customWidth="1"/>
    <col min="7681" max="7681" width="0.453125" style="8" customWidth="1"/>
    <col min="7682" max="7682" width="10.81640625" style="8" bestFit="1" customWidth="1"/>
    <col min="7683" max="7683" width="0.453125" style="8" customWidth="1"/>
    <col min="7684" max="7684" width="9.90625" style="8" bestFit="1" customWidth="1"/>
    <col min="7685" max="7685" width="0.453125" style="8" customWidth="1"/>
    <col min="7686" max="7686" width="10.81640625" style="8" bestFit="1" customWidth="1"/>
    <col min="7687" max="7687" width="0.36328125" style="8" customWidth="1"/>
    <col min="7688" max="7688" width="10.81640625" style="8" bestFit="1" customWidth="1"/>
    <col min="7689" max="7689" width="4.1796875" style="8" bestFit="1" customWidth="1"/>
    <col min="7690" max="7690" width="4.1796875" style="8" customWidth="1"/>
    <col min="7691" max="7691" width="10.54296875" style="8" bestFit="1" customWidth="1"/>
    <col min="7692" max="7692" width="9.6328125" style="8" bestFit="1" customWidth="1"/>
    <col min="7693" max="7693" width="11.36328125" style="8" bestFit="1" customWidth="1"/>
    <col min="7694" max="7694" width="10.54296875" style="8" bestFit="1" customWidth="1"/>
    <col min="7695" max="7935" width="8.90625" style="8"/>
    <col min="7936" max="7936" width="7.453125" style="8" customWidth="1"/>
    <col min="7937" max="7937" width="0.453125" style="8" customWidth="1"/>
    <col min="7938" max="7938" width="10.81640625" style="8" bestFit="1" customWidth="1"/>
    <col min="7939" max="7939" width="0.453125" style="8" customWidth="1"/>
    <col min="7940" max="7940" width="9.90625" style="8" bestFit="1" customWidth="1"/>
    <col min="7941" max="7941" width="0.453125" style="8" customWidth="1"/>
    <col min="7942" max="7942" width="10.81640625" style="8" bestFit="1" customWidth="1"/>
    <col min="7943" max="7943" width="0.36328125" style="8" customWidth="1"/>
    <col min="7944" max="7944" width="10.81640625" style="8" bestFit="1" customWidth="1"/>
    <col min="7945" max="7945" width="4.1796875" style="8" bestFit="1" customWidth="1"/>
    <col min="7946" max="7946" width="4.1796875" style="8" customWidth="1"/>
    <col min="7947" max="7947" width="10.54296875" style="8" bestFit="1" customWidth="1"/>
    <col min="7948" max="7948" width="9.6328125" style="8" bestFit="1" customWidth="1"/>
    <col min="7949" max="7949" width="11.36328125" style="8" bestFit="1" customWidth="1"/>
    <col min="7950" max="7950" width="10.54296875" style="8" bestFit="1" customWidth="1"/>
    <col min="7951" max="8191" width="8.90625" style="8"/>
    <col min="8192" max="8192" width="7.453125" style="8" customWidth="1"/>
    <col min="8193" max="8193" width="0.453125" style="8" customWidth="1"/>
    <col min="8194" max="8194" width="10.81640625" style="8" bestFit="1" customWidth="1"/>
    <col min="8195" max="8195" width="0.453125" style="8" customWidth="1"/>
    <col min="8196" max="8196" width="9.90625" style="8" bestFit="1" customWidth="1"/>
    <col min="8197" max="8197" width="0.453125" style="8" customWidth="1"/>
    <col min="8198" max="8198" width="10.81640625" style="8" bestFit="1" customWidth="1"/>
    <col min="8199" max="8199" width="0.36328125" style="8" customWidth="1"/>
    <col min="8200" max="8200" width="10.81640625" style="8" bestFit="1" customWidth="1"/>
    <col min="8201" max="8201" width="4.1796875" style="8" bestFit="1" customWidth="1"/>
    <col min="8202" max="8202" width="4.1796875" style="8" customWidth="1"/>
    <col min="8203" max="8203" width="10.54296875" style="8" bestFit="1" customWidth="1"/>
    <col min="8204" max="8204" width="9.6328125" style="8" bestFit="1" customWidth="1"/>
    <col min="8205" max="8205" width="11.36328125" style="8" bestFit="1" customWidth="1"/>
    <col min="8206" max="8206" width="10.54296875" style="8" bestFit="1" customWidth="1"/>
    <col min="8207" max="8447" width="8.90625" style="8"/>
    <col min="8448" max="8448" width="7.453125" style="8" customWidth="1"/>
    <col min="8449" max="8449" width="0.453125" style="8" customWidth="1"/>
    <col min="8450" max="8450" width="10.81640625" style="8" bestFit="1" customWidth="1"/>
    <col min="8451" max="8451" width="0.453125" style="8" customWidth="1"/>
    <col min="8452" max="8452" width="9.90625" style="8" bestFit="1" customWidth="1"/>
    <col min="8453" max="8453" width="0.453125" style="8" customWidth="1"/>
    <col min="8454" max="8454" width="10.81640625" style="8" bestFit="1" customWidth="1"/>
    <col min="8455" max="8455" width="0.36328125" style="8" customWidth="1"/>
    <col min="8456" max="8456" width="10.81640625" style="8" bestFit="1" customWidth="1"/>
    <col min="8457" max="8457" width="4.1796875" style="8" bestFit="1" customWidth="1"/>
    <col min="8458" max="8458" width="4.1796875" style="8" customWidth="1"/>
    <col min="8459" max="8459" width="10.54296875" style="8" bestFit="1" customWidth="1"/>
    <col min="8460" max="8460" width="9.6328125" style="8" bestFit="1" customWidth="1"/>
    <col min="8461" max="8461" width="11.36328125" style="8" bestFit="1" customWidth="1"/>
    <col min="8462" max="8462" width="10.54296875" style="8" bestFit="1" customWidth="1"/>
    <col min="8463" max="8703" width="8.90625" style="8"/>
    <col min="8704" max="8704" width="7.453125" style="8" customWidth="1"/>
    <col min="8705" max="8705" width="0.453125" style="8" customWidth="1"/>
    <col min="8706" max="8706" width="10.81640625" style="8" bestFit="1" customWidth="1"/>
    <col min="8707" max="8707" width="0.453125" style="8" customWidth="1"/>
    <col min="8708" max="8708" width="9.90625" style="8" bestFit="1" customWidth="1"/>
    <col min="8709" max="8709" width="0.453125" style="8" customWidth="1"/>
    <col min="8710" max="8710" width="10.81640625" style="8" bestFit="1" customWidth="1"/>
    <col min="8711" max="8711" width="0.36328125" style="8" customWidth="1"/>
    <col min="8712" max="8712" width="10.81640625" style="8" bestFit="1" customWidth="1"/>
    <col min="8713" max="8713" width="4.1796875" style="8" bestFit="1" customWidth="1"/>
    <col min="8714" max="8714" width="4.1796875" style="8" customWidth="1"/>
    <col min="8715" max="8715" width="10.54296875" style="8" bestFit="1" customWidth="1"/>
    <col min="8716" max="8716" width="9.6328125" style="8" bestFit="1" customWidth="1"/>
    <col min="8717" max="8717" width="11.36328125" style="8" bestFit="1" customWidth="1"/>
    <col min="8718" max="8718" width="10.54296875" style="8" bestFit="1" customWidth="1"/>
    <col min="8719" max="8959" width="8.90625" style="8"/>
    <col min="8960" max="8960" width="7.453125" style="8" customWidth="1"/>
    <col min="8961" max="8961" width="0.453125" style="8" customWidth="1"/>
    <col min="8962" max="8962" width="10.81640625" style="8" bestFit="1" customWidth="1"/>
    <col min="8963" max="8963" width="0.453125" style="8" customWidth="1"/>
    <col min="8964" max="8964" width="9.90625" style="8" bestFit="1" customWidth="1"/>
    <col min="8965" max="8965" width="0.453125" style="8" customWidth="1"/>
    <col min="8966" max="8966" width="10.81640625" style="8" bestFit="1" customWidth="1"/>
    <col min="8967" max="8967" width="0.36328125" style="8" customWidth="1"/>
    <col min="8968" max="8968" width="10.81640625" style="8" bestFit="1" customWidth="1"/>
    <col min="8969" max="8969" width="4.1796875" style="8" bestFit="1" customWidth="1"/>
    <col min="8970" max="8970" width="4.1796875" style="8" customWidth="1"/>
    <col min="8971" max="8971" width="10.54296875" style="8" bestFit="1" customWidth="1"/>
    <col min="8972" max="8972" width="9.6328125" style="8" bestFit="1" customWidth="1"/>
    <col min="8973" max="8973" width="11.36328125" style="8" bestFit="1" customWidth="1"/>
    <col min="8974" max="8974" width="10.54296875" style="8" bestFit="1" customWidth="1"/>
    <col min="8975" max="9215" width="8.90625" style="8"/>
    <col min="9216" max="9216" width="7.453125" style="8" customWidth="1"/>
    <col min="9217" max="9217" width="0.453125" style="8" customWidth="1"/>
    <col min="9218" max="9218" width="10.81640625" style="8" bestFit="1" customWidth="1"/>
    <col min="9219" max="9219" width="0.453125" style="8" customWidth="1"/>
    <col min="9220" max="9220" width="9.90625" style="8" bestFit="1" customWidth="1"/>
    <col min="9221" max="9221" width="0.453125" style="8" customWidth="1"/>
    <col min="9222" max="9222" width="10.81640625" style="8" bestFit="1" customWidth="1"/>
    <col min="9223" max="9223" width="0.36328125" style="8" customWidth="1"/>
    <col min="9224" max="9224" width="10.81640625" style="8" bestFit="1" customWidth="1"/>
    <col min="9225" max="9225" width="4.1796875" style="8" bestFit="1" customWidth="1"/>
    <col min="9226" max="9226" width="4.1796875" style="8" customWidth="1"/>
    <col min="9227" max="9227" width="10.54296875" style="8" bestFit="1" customWidth="1"/>
    <col min="9228" max="9228" width="9.6328125" style="8" bestFit="1" customWidth="1"/>
    <col min="9229" max="9229" width="11.36328125" style="8" bestFit="1" customWidth="1"/>
    <col min="9230" max="9230" width="10.54296875" style="8" bestFit="1" customWidth="1"/>
    <col min="9231" max="9471" width="8.90625" style="8"/>
    <col min="9472" max="9472" width="7.453125" style="8" customWidth="1"/>
    <col min="9473" max="9473" width="0.453125" style="8" customWidth="1"/>
    <col min="9474" max="9474" width="10.81640625" style="8" bestFit="1" customWidth="1"/>
    <col min="9475" max="9475" width="0.453125" style="8" customWidth="1"/>
    <col min="9476" max="9476" width="9.90625" style="8" bestFit="1" customWidth="1"/>
    <col min="9477" max="9477" width="0.453125" style="8" customWidth="1"/>
    <col min="9478" max="9478" width="10.81640625" style="8" bestFit="1" customWidth="1"/>
    <col min="9479" max="9479" width="0.36328125" style="8" customWidth="1"/>
    <col min="9480" max="9480" width="10.81640625" style="8" bestFit="1" customWidth="1"/>
    <col min="9481" max="9481" width="4.1796875" style="8" bestFit="1" customWidth="1"/>
    <col min="9482" max="9482" width="4.1796875" style="8" customWidth="1"/>
    <col min="9483" max="9483" width="10.54296875" style="8" bestFit="1" customWidth="1"/>
    <col min="9484" max="9484" width="9.6328125" style="8" bestFit="1" customWidth="1"/>
    <col min="9485" max="9485" width="11.36328125" style="8" bestFit="1" customWidth="1"/>
    <col min="9486" max="9486" width="10.54296875" style="8" bestFit="1" customWidth="1"/>
    <col min="9487" max="9727" width="8.90625" style="8"/>
    <col min="9728" max="9728" width="7.453125" style="8" customWidth="1"/>
    <col min="9729" max="9729" width="0.453125" style="8" customWidth="1"/>
    <col min="9730" max="9730" width="10.81640625" style="8" bestFit="1" customWidth="1"/>
    <col min="9731" max="9731" width="0.453125" style="8" customWidth="1"/>
    <col min="9732" max="9732" width="9.90625" style="8" bestFit="1" customWidth="1"/>
    <col min="9733" max="9733" width="0.453125" style="8" customWidth="1"/>
    <col min="9734" max="9734" width="10.81640625" style="8" bestFit="1" customWidth="1"/>
    <col min="9735" max="9735" width="0.36328125" style="8" customWidth="1"/>
    <col min="9736" max="9736" width="10.81640625" style="8" bestFit="1" customWidth="1"/>
    <col min="9737" max="9737" width="4.1796875" style="8" bestFit="1" customWidth="1"/>
    <col min="9738" max="9738" width="4.1796875" style="8" customWidth="1"/>
    <col min="9739" max="9739" width="10.54296875" style="8" bestFit="1" customWidth="1"/>
    <col min="9740" max="9740" width="9.6328125" style="8" bestFit="1" customWidth="1"/>
    <col min="9741" max="9741" width="11.36328125" style="8" bestFit="1" customWidth="1"/>
    <col min="9742" max="9742" width="10.54296875" style="8" bestFit="1" customWidth="1"/>
    <col min="9743" max="9983" width="8.90625" style="8"/>
    <col min="9984" max="9984" width="7.453125" style="8" customWidth="1"/>
    <col min="9985" max="9985" width="0.453125" style="8" customWidth="1"/>
    <col min="9986" max="9986" width="10.81640625" style="8" bestFit="1" customWidth="1"/>
    <col min="9987" max="9987" width="0.453125" style="8" customWidth="1"/>
    <col min="9988" max="9988" width="9.90625" style="8" bestFit="1" customWidth="1"/>
    <col min="9989" max="9989" width="0.453125" style="8" customWidth="1"/>
    <col min="9990" max="9990" width="10.81640625" style="8" bestFit="1" customWidth="1"/>
    <col min="9991" max="9991" width="0.36328125" style="8" customWidth="1"/>
    <col min="9992" max="9992" width="10.81640625" style="8" bestFit="1" customWidth="1"/>
    <col min="9993" max="9993" width="4.1796875" style="8" bestFit="1" customWidth="1"/>
    <col min="9994" max="9994" width="4.1796875" style="8" customWidth="1"/>
    <col min="9995" max="9995" width="10.54296875" style="8" bestFit="1" customWidth="1"/>
    <col min="9996" max="9996" width="9.6328125" style="8" bestFit="1" customWidth="1"/>
    <col min="9997" max="9997" width="11.36328125" style="8" bestFit="1" customWidth="1"/>
    <col min="9998" max="9998" width="10.54296875" style="8" bestFit="1" customWidth="1"/>
    <col min="9999" max="10239" width="8.90625" style="8"/>
    <col min="10240" max="10240" width="7.453125" style="8" customWidth="1"/>
    <col min="10241" max="10241" width="0.453125" style="8" customWidth="1"/>
    <col min="10242" max="10242" width="10.81640625" style="8" bestFit="1" customWidth="1"/>
    <col min="10243" max="10243" width="0.453125" style="8" customWidth="1"/>
    <col min="10244" max="10244" width="9.90625" style="8" bestFit="1" customWidth="1"/>
    <col min="10245" max="10245" width="0.453125" style="8" customWidth="1"/>
    <col min="10246" max="10246" width="10.81640625" style="8" bestFit="1" customWidth="1"/>
    <col min="10247" max="10247" width="0.36328125" style="8" customWidth="1"/>
    <col min="10248" max="10248" width="10.81640625" style="8" bestFit="1" customWidth="1"/>
    <col min="10249" max="10249" width="4.1796875" style="8" bestFit="1" customWidth="1"/>
    <col min="10250" max="10250" width="4.1796875" style="8" customWidth="1"/>
    <col min="10251" max="10251" width="10.54296875" style="8" bestFit="1" customWidth="1"/>
    <col min="10252" max="10252" width="9.6328125" style="8" bestFit="1" customWidth="1"/>
    <col min="10253" max="10253" width="11.36328125" style="8" bestFit="1" customWidth="1"/>
    <col min="10254" max="10254" width="10.54296875" style="8" bestFit="1" customWidth="1"/>
    <col min="10255" max="10495" width="8.90625" style="8"/>
    <col min="10496" max="10496" width="7.453125" style="8" customWidth="1"/>
    <col min="10497" max="10497" width="0.453125" style="8" customWidth="1"/>
    <col min="10498" max="10498" width="10.81640625" style="8" bestFit="1" customWidth="1"/>
    <col min="10499" max="10499" width="0.453125" style="8" customWidth="1"/>
    <col min="10500" max="10500" width="9.90625" style="8" bestFit="1" customWidth="1"/>
    <col min="10501" max="10501" width="0.453125" style="8" customWidth="1"/>
    <col min="10502" max="10502" width="10.81640625" style="8" bestFit="1" customWidth="1"/>
    <col min="10503" max="10503" width="0.36328125" style="8" customWidth="1"/>
    <col min="10504" max="10504" width="10.81640625" style="8" bestFit="1" customWidth="1"/>
    <col min="10505" max="10505" width="4.1796875" style="8" bestFit="1" customWidth="1"/>
    <col min="10506" max="10506" width="4.1796875" style="8" customWidth="1"/>
    <col min="10507" max="10507" width="10.54296875" style="8" bestFit="1" customWidth="1"/>
    <col min="10508" max="10508" width="9.6328125" style="8" bestFit="1" customWidth="1"/>
    <col min="10509" max="10509" width="11.36328125" style="8" bestFit="1" customWidth="1"/>
    <col min="10510" max="10510" width="10.54296875" style="8" bestFit="1" customWidth="1"/>
    <col min="10511" max="10751" width="8.90625" style="8"/>
    <col min="10752" max="10752" width="7.453125" style="8" customWidth="1"/>
    <col min="10753" max="10753" width="0.453125" style="8" customWidth="1"/>
    <col min="10754" max="10754" width="10.81640625" style="8" bestFit="1" customWidth="1"/>
    <col min="10755" max="10755" width="0.453125" style="8" customWidth="1"/>
    <col min="10756" max="10756" width="9.90625" style="8" bestFit="1" customWidth="1"/>
    <col min="10757" max="10757" width="0.453125" style="8" customWidth="1"/>
    <col min="10758" max="10758" width="10.81640625" style="8" bestFit="1" customWidth="1"/>
    <col min="10759" max="10759" width="0.36328125" style="8" customWidth="1"/>
    <col min="10760" max="10760" width="10.81640625" style="8" bestFit="1" customWidth="1"/>
    <col min="10761" max="10761" width="4.1796875" style="8" bestFit="1" customWidth="1"/>
    <col min="10762" max="10762" width="4.1796875" style="8" customWidth="1"/>
    <col min="10763" max="10763" width="10.54296875" style="8" bestFit="1" customWidth="1"/>
    <col min="10764" max="10764" width="9.6328125" style="8" bestFit="1" customWidth="1"/>
    <col min="10765" max="10765" width="11.36328125" style="8" bestFit="1" customWidth="1"/>
    <col min="10766" max="10766" width="10.54296875" style="8" bestFit="1" customWidth="1"/>
    <col min="10767" max="11007" width="8.90625" style="8"/>
    <col min="11008" max="11008" width="7.453125" style="8" customWidth="1"/>
    <col min="11009" max="11009" width="0.453125" style="8" customWidth="1"/>
    <col min="11010" max="11010" width="10.81640625" style="8" bestFit="1" customWidth="1"/>
    <col min="11011" max="11011" width="0.453125" style="8" customWidth="1"/>
    <col min="11012" max="11012" width="9.90625" style="8" bestFit="1" customWidth="1"/>
    <col min="11013" max="11013" width="0.453125" style="8" customWidth="1"/>
    <col min="11014" max="11014" width="10.81640625" style="8" bestFit="1" customWidth="1"/>
    <col min="11015" max="11015" width="0.36328125" style="8" customWidth="1"/>
    <col min="11016" max="11016" width="10.81640625" style="8" bestFit="1" customWidth="1"/>
    <col min="11017" max="11017" width="4.1796875" style="8" bestFit="1" customWidth="1"/>
    <col min="11018" max="11018" width="4.1796875" style="8" customWidth="1"/>
    <col min="11019" max="11019" width="10.54296875" style="8" bestFit="1" customWidth="1"/>
    <col min="11020" max="11020" width="9.6328125" style="8" bestFit="1" customWidth="1"/>
    <col min="11021" max="11021" width="11.36328125" style="8" bestFit="1" customWidth="1"/>
    <col min="11022" max="11022" width="10.54296875" style="8" bestFit="1" customWidth="1"/>
    <col min="11023" max="11263" width="8.90625" style="8"/>
    <col min="11264" max="11264" width="7.453125" style="8" customWidth="1"/>
    <col min="11265" max="11265" width="0.453125" style="8" customWidth="1"/>
    <col min="11266" max="11266" width="10.81640625" style="8" bestFit="1" customWidth="1"/>
    <col min="11267" max="11267" width="0.453125" style="8" customWidth="1"/>
    <col min="11268" max="11268" width="9.90625" style="8" bestFit="1" customWidth="1"/>
    <col min="11269" max="11269" width="0.453125" style="8" customWidth="1"/>
    <col min="11270" max="11270" width="10.81640625" style="8" bestFit="1" customWidth="1"/>
    <col min="11271" max="11271" width="0.36328125" style="8" customWidth="1"/>
    <col min="11272" max="11272" width="10.81640625" style="8" bestFit="1" customWidth="1"/>
    <col min="11273" max="11273" width="4.1796875" style="8" bestFit="1" customWidth="1"/>
    <col min="11274" max="11274" width="4.1796875" style="8" customWidth="1"/>
    <col min="11275" max="11275" width="10.54296875" style="8" bestFit="1" customWidth="1"/>
    <col min="11276" max="11276" width="9.6328125" style="8" bestFit="1" customWidth="1"/>
    <col min="11277" max="11277" width="11.36328125" style="8" bestFit="1" customWidth="1"/>
    <col min="11278" max="11278" width="10.54296875" style="8" bestFit="1" customWidth="1"/>
    <col min="11279" max="11519" width="8.90625" style="8"/>
    <col min="11520" max="11520" width="7.453125" style="8" customWidth="1"/>
    <col min="11521" max="11521" width="0.453125" style="8" customWidth="1"/>
    <col min="11522" max="11522" width="10.81640625" style="8" bestFit="1" customWidth="1"/>
    <col min="11523" max="11523" width="0.453125" style="8" customWidth="1"/>
    <col min="11524" max="11524" width="9.90625" style="8" bestFit="1" customWidth="1"/>
    <col min="11525" max="11525" width="0.453125" style="8" customWidth="1"/>
    <col min="11526" max="11526" width="10.81640625" style="8" bestFit="1" customWidth="1"/>
    <col min="11527" max="11527" width="0.36328125" style="8" customWidth="1"/>
    <col min="11528" max="11528" width="10.81640625" style="8" bestFit="1" customWidth="1"/>
    <col min="11529" max="11529" width="4.1796875" style="8" bestFit="1" customWidth="1"/>
    <col min="11530" max="11530" width="4.1796875" style="8" customWidth="1"/>
    <col min="11531" max="11531" width="10.54296875" style="8" bestFit="1" customWidth="1"/>
    <col min="11532" max="11532" width="9.6328125" style="8" bestFit="1" customWidth="1"/>
    <col min="11533" max="11533" width="11.36328125" style="8" bestFit="1" customWidth="1"/>
    <col min="11534" max="11534" width="10.54296875" style="8" bestFit="1" customWidth="1"/>
    <col min="11535" max="11775" width="8.90625" style="8"/>
    <col min="11776" max="11776" width="7.453125" style="8" customWidth="1"/>
    <col min="11777" max="11777" width="0.453125" style="8" customWidth="1"/>
    <col min="11778" max="11778" width="10.81640625" style="8" bestFit="1" customWidth="1"/>
    <col min="11779" max="11779" width="0.453125" style="8" customWidth="1"/>
    <col min="11780" max="11780" width="9.90625" style="8" bestFit="1" customWidth="1"/>
    <col min="11781" max="11781" width="0.453125" style="8" customWidth="1"/>
    <col min="11782" max="11782" width="10.81640625" style="8" bestFit="1" customWidth="1"/>
    <col min="11783" max="11783" width="0.36328125" style="8" customWidth="1"/>
    <col min="11784" max="11784" width="10.81640625" style="8" bestFit="1" customWidth="1"/>
    <col min="11785" max="11785" width="4.1796875" style="8" bestFit="1" customWidth="1"/>
    <col min="11786" max="11786" width="4.1796875" style="8" customWidth="1"/>
    <col min="11787" max="11787" width="10.54296875" style="8" bestFit="1" customWidth="1"/>
    <col min="11788" max="11788" width="9.6328125" style="8" bestFit="1" customWidth="1"/>
    <col min="11789" max="11789" width="11.36328125" style="8" bestFit="1" customWidth="1"/>
    <col min="11790" max="11790" width="10.54296875" style="8" bestFit="1" customWidth="1"/>
    <col min="11791" max="12031" width="8.90625" style="8"/>
    <col min="12032" max="12032" width="7.453125" style="8" customWidth="1"/>
    <col min="12033" max="12033" width="0.453125" style="8" customWidth="1"/>
    <col min="12034" max="12034" width="10.81640625" style="8" bestFit="1" customWidth="1"/>
    <col min="12035" max="12035" width="0.453125" style="8" customWidth="1"/>
    <col min="12036" max="12036" width="9.90625" style="8" bestFit="1" customWidth="1"/>
    <col min="12037" max="12037" width="0.453125" style="8" customWidth="1"/>
    <col min="12038" max="12038" width="10.81640625" style="8" bestFit="1" customWidth="1"/>
    <col min="12039" max="12039" width="0.36328125" style="8" customWidth="1"/>
    <col min="12040" max="12040" width="10.81640625" style="8" bestFit="1" customWidth="1"/>
    <col min="12041" max="12041" width="4.1796875" style="8" bestFit="1" customWidth="1"/>
    <col min="12042" max="12042" width="4.1796875" style="8" customWidth="1"/>
    <col min="12043" max="12043" width="10.54296875" style="8" bestFit="1" customWidth="1"/>
    <col min="12044" max="12044" width="9.6328125" style="8" bestFit="1" customWidth="1"/>
    <col min="12045" max="12045" width="11.36328125" style="8" bestFit="1" customWidth="1"/>
    <col min="12046" max="12046" width="10.54296875" style="8" bestFit="1" customWidth="1"/>
    <col min="12047" max="12287" width="8.90625" style="8"/>
    <col min="12288" max="12288" width="7.453125" style="8" customWidth="1"/>
    <col min="12289" max="12289" width="0.453125" style="8" customWidth="1"/>
    <col min="12290" max="12290" width="10.81640625" style="8" bestFit="1" customWidth="1"/>
    <col min="12291" max="12291" width="0.453125" style="8" customWidth="1"/>
    <col min="12292" max="12292" width="9.90625" style="8" bestFit="1" customWidth="1"/>
    <col min="12293" max="12293" width="0.453125" style="8" customWidth="1"/>
    <col min="12294" max="12294" width="10.81640625" style="8" bestFit="1" customWidth="1"/>
    <col min="12295" max="12295" width="0.36328125" style="8" customWidth="1"/>
    <col min="12296" max="12296" width="10.81640625" style="8" bestFit="1" customWidth="1"/>
    <col min="12297" max="12297" width="4.1796875" style="8" bestFit="1" customWidth="1"/>
    <col min="12298" max="12298" width="4.1796875" style="8" customWidth="1"/>
    <col min="12299" max="12299" width="10.54296875" style="8" bestFit="1" customWidth="1"/>
    <col min="12300" max="12300" width="9.6328125" style="8" bestFit="1" customWidth="1"/>
    <col min="12301" max="12301" width="11.36328125" style="8" bestFit="1" customWidth="1"/>
    <col min="12302" max="12302" width="10.54296875" style="8" bestFit="1" customWidth="1"/>
    <col min="12303" max="12543" width="8.90625" style="8"/>
    <col min="12544" max="12544" width="7.453125" style="8" customWidth="1"/>
    <col min="12545" max="12545" width="0.453125" style="8" customWidth="1"/>
    <col min="12546" max="12546" width="10.81640625" style="8" bestFit="1" customWidth="1"/>
    <col min="12547" max="12547" width="0.453125" style="8" customWidth="1"/>
    <col min="12548" max="12548" width="9.90625" style="8" bestFit="1" customWidth="1"/>
    <col min="12549" max="12549" width="0.453125" style="8" customWidth="1"/>
    <col min="12550" max="12550" width="10.81640625" style="8" bestFit="1" customWidth="1"/>
    <col min="12551" max="12551" width="0.36328125" style="8" customWidth="1"/>
    <col min="12552" max="12552" width="10.81640625" style="8" bestFit="1" customWidth="1"/>
    <col min="12553" max="12553" width="4.1796875" style="8" bestFit="1" customWidth="1"/>
    <col min="12554" max="12554" width="4.1796875" style="8" customWidth="1"/>
    <col min="12555" max="12555" width="10.54296875" style="8" bestFit="1" customWidth="1"/>
    <col min="12556" max="12556" width="9.6328125" style="8" bestFit="1" customWidth="1"/>
    <col min="12557" max="12557" width="11.36328125" style="8" bestFit="1" customWidth="1"/>
    <col min="12558" max="12558" width="10.54296875" style="8" bestFit="1" customWidth="1"/>
    <col min="12559" max="12799" width="8.90625" style="8"/>
    <col min="12800" max="12800" width="7.453125" style="8" customWidth="1"/>
    <col min="12801" max="12801" width="0.453125" style="8" customWidth="1"/>
    <col min="12802" max="12802" width="10.81640625" style="8" bestFit="1" customWidth="1"/>
    <col min="12803" max="12803" width="0.453125" style="8" customWidth="1"/>
    <col min="12804" max="12804" width="9.90625" style="8" bestFit="1" customWidth="1"/>
    <col min="12805" max="12805" width="0.453125" style="8" customWidth="1"/>
    <col min="12806" max="12806" width="10.81640625" style="8" bestFit="1" customWidth="1"/>
    <col min="12807" max="12807" width="0.36328125" style="8" customWidth="1"/>
    <col min="12808" max="12808" width="10.81640625" style="8" bestFit="1" customWidth="1"/>
    <col min="12809" max="12809" width="4.1796875" style="8" bestFit="1" customWidth="1"/>
    <col min="12810" max="12810" width="4.1796875" style="8" customWidth="1"/>
    <col min="12811" max="12811" width="10.54296875" style="8" bestFit="1" customWidth="1"/>
    <col min="12812" max="12812" width="9.6328125" style="8" bestFit="1" customWidth="1"/>
    <col min="12813" max="12813" width="11.36328125" style="8" bestFit="1" customWidth="1"/>
    <col min="12814" max="12814" width="10.54296875" style="8" bestFit="1" customWidth="1"/>
    <col min="12815" max="13055" width="8.90625" style="8"/>
    <col min="13056" max="13056" width="7.453125" style="8" customWidth="1"/>
    <col min="13057" max="13057" width="0.453125" style="8" customWidth="1"/>
    <col min="13058" max="13058" width="10.81640625" style="8" bestFit="1" customWidth="1"/>
    <col min="13059" max="13059" width="0.453125" style="8" customWidth="1"/>
    <col min="13060" max="13060" width="9.90625" style="8" bestFit="1" customWidth="1"/>
    <col min="13061" max="13061" width="0.453125" style="8" customWidth="1"/>
    <col min="13062" max="13062" width="10.81640625" style="8" bestFit="1" customWidth="1"/>
    <col min="13063" max="13063" width="0.36328125" style="8" customWidth="1"/>
    <col min="13064" max="13064" width="10.81640625" style="8" bestFit="1" customWidth="1"/>
    <col min="13065" max="13065" width="4.1796875" style="8" bestFit="1" customWidth="1"/>
    <col min="13066" max="13066" width="4.1796875" style="8" customWidth="1"/>
    <col min="13067" max="13067" width="10.54296875" style="8" bestFit="1" customWidth="1"/>
    <col min="13068" max="13068" width="9.6328125" style="8" bestFit="1" customWidth="1"/>
    <col min="13069" max="13069" width="11.36328125" style="8" bestFit="1" customWidth="1"/>
    <col min="13070" max="13070" width="10.54296875" style="8" bestFit="1" customWidth="1"/>
    <col min="13071" max="13311" width="8.90625" style="8"/>
    <col min="13312" max="13312" width="7.453125" style="8" customWidth="1"/>
    <col min="13313" max="13313" width="0.453125" style="8" customWidth="1"/>
    <col min="13314" max="13314" width="10.81640625" style="8" bestFit="1" customWidth="1"/>
    <col min="13315" max="13315" width="0.453125" style="8" customWidth="1"/>
    <col min="13316" max="13316" width="9.90625" style="8" bestFit="1" customWidth="1"/>
    <col min="13317" max="13317" width="0.453125" style="8" customWidth="1"/>
    <col min="13318" max="13318" width="10.81640625" style="8" bestFit="1" customWidth="1"/>
    <col min="13319" max="13319" width="0.36328125" style="8" customWidth="1"/>
    <col min="13320" max="13320" width="10.81640625" style="8" bestFit="1" customWidth="1"/>
    <col min="13321" max="13321" width="4.1796875" style="8" bestFit="1" customWidth="1"/>
    <col min="13322" max="13322" width="4.1796875" style="8" customWidth="1"/>
    <col min="13323" max="13323" width="10.54296875" style="8" bestFit="1" customWidth="1"/>
    <col min="13324" max="13324" width="9.6328125" style="8" bestFit="1" customWidth="1"/>
    <col min="13325" max="13325" width="11.36328125" style="8" bestFit="1" customWidth="1"/>
    <col min="13326" max="13326" width="10.54296875" style="8" bestFit="1" customWidth="1"/>
    <col min="13327" max="13567" width="8.90625" style="8"/>
    <col min="13568" max="13568" width="7.453125" style="8" customWidth="1"/>
    <col min="13569" max="13569" width="0.453125" style="8" customWidth="1"/>
    <col min="13570" max="13570" width="10.81640625" style="8" bestFit="1" customWidth="1"/>
    <col min="13571" max="13571" width="0.453125" style="8" customWidth="1"/>
    <col min="13572" max="13572" width="9.90625" style="8" bestFit="1" customWidth="1"/>
    <col min="13573" max="13573" width="0.453125" style="8" customWidth="1"/>
    <col min="13574" max="13574" width="10.81640625" style="8" bestFit="1" customWidth="1"/>
    <col min="13575" max="13575" width="0.36328125" style="8" customWidth="1"/>
    <col min="13576" max="13576" width="10.81640625" style="8" bestFit="1" customWidth="1"/>
    <col min="13577" max="13577" width="4.1796875" style="8" bestFit="1" customWidth="1"/>
    <col min="13578" max="13578" width="4.1796875" style="8" customWidth="1"/>
    <col min="13579" max="13579" width="10.54296875" style="8" bestFit="1" customWidth="1"/>
    <col min="13580" max="13580" width="9.6328125" style="8" bestFit="1" customWidth="1"/>
    <col min="13581" max="13581" width="11.36328125" style="8" bestFit="1" customWidth="1"/>
    <col min="13582" max="13582" width="10.54296875" style="8" bestFit="1" customWidth="1"/>
    <col min="13583" max="13823" width="8.90625" style="8"/>
    <col min="13824" max="13824" width="7.453125" style="8" customWidth="1"/>
    <col min="13825" max="13825" width="0.453125" style="8" customWidth="1"/>
    <col min="13826" max="13826" width="10.81640625" style="8" bestFit="1" customWidth="1"/>
    <col min="13827" max="13827" width="0.453125" style="8" customWidth="1"/>
    <col min="13828" max="13828" width="9.90625" style="8" bestFit="1" customWidth="1"/>
    <col min="13829" max="13829" width="0.453125" style="8" customWidth="1"/>
    <col min="13830" max="13830" width="10.81640625" style="8" bestFit="1" customWidth="1"/>
    <col min="13831" max="13831" width="0.36328125" style="8" customWidth="1"/>
    <col min="13832" max="13832" width="10.81640625" style="8" bestFit="1" customWidth="1"/>
    <col min="13833" max="13833" width="4.1796875" style="8" bestFit="1" customWidth="1"/>
    <col min="13834" max="13834" width="4.1796875" style="8" customWidth="1"/>
    <col min="13835" max="13835" width="10.54296875" style="8" bestFit="1" customWidth="1"/>
    <col min="13836" max="13836" width="9.6328125" style="8" bestFit="1" customWidth="1"/>
    <col min="13837" max="13837" width="11.36328125" style="8" bestFit="1" customWidth="1"/>
    <col min="13838" max="13838" width="10.54296875" style="8" bestFit="1" customWidth="1"/>
    <col min="13839" max="14079" width="8.90625" style="8"/>
    <col min="14080" max="14080" width="7.453125" style="8" customWidth="1"/>
    <col min="14081" max="14081" width="0.453125" style="8" customWidth="1"/>
    <col min="14082" max="14082" width="10.81640625" style="8" bestFit="1" customWidth="1"/>
    <col min="14083" max="14083" width="0.453125" style="8" customWidth="1"/>
    <col min="14084" max="14084" width="9.90625" style="8" bestFit="1" customWidth="1"/>
    <col min="14085" max="14085" width="0.453125" style="8" customWidth="1"/>
    <col min="14086" max="14086" width="10.81640625" style="8" bestFit="1" customWidth="1"/>
    <col min="14087" max="14087" width="0.36328125" style="8" customWidth="1"/>
    <col min="14088" max="14088" width="10.81640625" style="8" bestFit="1" customWidth="1"/>
    <col min="14089" max="14089" width="4.1796875" style="8" bestFit="1" customWidth="1"/>
    <col min="14090" max="14090" width="4.1796875" style="8" customWidth="1"/>
    <col min="14091" max="14091" width="10.54296875" style="8" bestFit="1" customWidth="1"/>
    <col min="14092" max="14092" width="9.6328125" style="8" bestFit="1" customWidth="1"/>
    <col min="14093" max="14093" width="11.36328125" style="8" bestFit="1" customWidth="1"/>
    <col min="14094" max="14094" width="10.54296875" style="8" bestFit="1" customWidth="1"/>
    <col min="14095" max="14335" width="8.90625" style="8"/>
    <col min="14336" max="14336" width="7.453125" style="8" customWidth="1"/>
    <col min="14337" max="14337" width="0.453125" style="8" customWidth="1"/>
    <col min="14338" max="14338" width="10.81640625" style="8" bestFit="1" customWidth="1"/>
    <col min="14339" max="14339" width="0.453125" style="8" customWidth="1"/>
    <col min="14340" max="14340" width="9.90625" style="8" bestFit="1" customWidth="1"/>
    <col min="14341" max="14341" width="0.453125" style="8" customWidth="1"/>
    <col min="14342" max="14342" width="10.81640625" style="8" bestFit="1" customWidth="1"/>
    <col min="14343" max="14343" width="0.36328125" style="8" customWidth="1"/>
    <col min="14344" max="14344" width="10.81640625" style="8" bestFit="1" customWidth="1"/>
    <col min="14345" max="14345" width="4.1796875" style="8" bestFit="1" customWidth="1"/>
    <col min="14346" max="14346" width="4.1796875" style="8" customWidth="1"/>
    <col min="14347" max="14347" width="10.54296875" style="8" bestFit="1" customWidth="1"/>
    <col min="14348" max="14348" width="9.6328125" style="8" bestFit="1" customWidth="1"/>
    <col min="14349" max="14349" width="11.36328125" style="8" bestFit="1" customWidth="1"/>
    <col min="14350" max="14350" width="10.54296875" style="8" bestFit="1" customWidth="1"/>
    <col min="14351" max="14591" width="8.90625" style="8"/>
    <col min="14592" max="14592" width="7.453125" style="8" customWidth="1"/>
    <col min="14593" max="14593" width="0.453125" style="8" customWidth="1"/>
    <col min="14594" max="14594" width="10.81640625" style="8" bestFit="1" customWidth="1"/>
    <col min="14595" max="14595" width="0.453125" style="8" customWidth="1"/>
    <col min="14596" max="14596" width="9.90625" style="8" bestFit="1" customWidth="1"/>
    <col min="14597" max="14597" width="0.453125" style="8" customWidth="1"/>
    <col min="14598" max="14598" width="10.81640625" style="8" bestFit="1" customWidth="1"/>
    <col min="14599" max="14599" width="0.36328125" style="8" customWidth="1"/>
    <col min="14600" max="14600" width="10.81640625" style="8" bestFit="1" customWidth="1"/>
    <col min="14601" max="14601" width="4.1796875" style="8" bestFit="1" customWidth="1"/>
    <col min="14602" max="14602" width="4.1796875" style="8" customWidth="1"/>
    <col min="14603" max="14603" width="10.54296875" style="8" bestFit="1" customWidth="1"/>
    <col min="14604" max="14604" width="9.6328125" style="8" bestFit="1" customWidth="1"/>
    <col min="14605" max="14605" width="11.36328125" style="8" bestFit="1" customWidth="1"/>
    <col min="14606" max="14606" width="10.54296875" style="8" bestFit="1" customWidth="1"/>
    <col min="14607" max="14847" width="8.90625" style="8"/>
    <col min="14848" max="14848" width="7.453125" style="8" customWidth="1"/>
    <col min="14849" max="14849" width="0.453125" style="8" customWidth="1"/>
    <col min="14850" max="14850" width="10.81640625" style="8" bestFit="1" customWidth="1"/>
    <col min="14851" max="14851" width="0.453125" style="8" customWidth="1"/>
    <col min="14852" max="14852" width="9.90625" style="8" bestFit="1" customWidth="1"/>
    <col min="14853" max="14853" width="0.453125" style="8" customWidth="1"/>
    <col min="14854" max="14854" width="10.81640625" style="8" bestFit="1" customWidth="1"/>
    <col min="14855" max="14855" width="0.36328125" style="8" customWidth="1"/>
    <col min="14856" max="14856" width="10.81640625" style="8" bestFit="1" customWidth="1"/>
    <col min="14857" max="14857" width="4.1796875" style="8" bestFit="1" customWidth="1"/>
    <col min="14858" max="14858" width="4.1796875" style="8" customWidth="1"/>
    <col min="14859" max="14859" width="10.54296875" style="8" bestFit="1" customWidth="1"/>
    <col min="14860" max="14860" width="9.6328125" style="8" bestFit="1" customWidth="1"/>
    <col min="14861" max="14861" width="11.36328125" style="8" bestFit="1" customWidth="1"/>
    <col min="14862" max="14862" width="10.54296875" style="8" bestFit="1" customWidth="1"/>
    <col min="14863" max="15103" width="8.90625" style="8"/>
    <col min="15104" max="15104" width="7.453125" style="8" customWidth="1"/>
    <col min="15105" max="15105" width="0.453125" style="8" customWidth="1"/>
    <col min="15106" max="15106" width="10.81640625" style="8" bestFit="1" customWidth="1"/>
    <col min="15107" max="15107" width="0.453125" style="8" customWidth="1"/>
    <col min="15108" max="15108" width="9.90625" style="8" bestFit="1" customWidth="1"/>
    <col min="15109" max="15109" width="0.453125" style="8" customWidth="1"/>
    <col min="15110" max="15110" width="10.81640625" style="8" bestFit="1" customWidth="1"/>
    <col min="15111" max="15111" width="0.36328125" style="8" customWidth="1"/>
    <col min="15112" max="15112" width="10.81640625" style="8" bestFit="1" customWidth="1"/>
    <col min="15113" max="15113" width="4.1796875" style="8" bestFit="1" customWidth="1"/>
    <col min="15114" max="15114" width="4.1796875" style="8" customWidth="1"/>
    <col min="15115" max="15115" width="10.54296875" style="8" bestFit="1" customWidth="1"/>
    <col min="15116" max="15116" width="9.6328125" style="8" bestFit="1" customWidth="1"/>
    <col min="15117" max="15117" width="11.36328125" style="8" bestFit="1" customWidth="1"/>
    <col min="15118" max="15118" width="10.54296875" style="8" bestFit="1" customWidth="1"/>
    <col min="15119" max="15359" width="8.90625" style="8"/>
    <col min="15360" max="15360" width="7.453125" style="8" customWidth="1"/>
    <col min="15361" max="15361" width="0.453125" style="8" customWidth="1"/>
    <col min="15362" max="15362" width="10.81640625" style="8" bestFit="1" customWidth="1"/>
    <col min="15363" max="15363" width="0.453125" style="8" customWidth="1"/>
    <col min="15364" max="15364" width="9.90625" style="8" bestFit="1" customWidth="1"/>
    <col min="15365" max="15365" width="0.453125" style="8" customWidth="1"/>
    <col min="15366" max="15366" width="10.81640625" style="8" bestFit="1" customWidth="1"/>
    <col min="15367" max="15367" width="0.36328125" style="8" customWidth="1"/>
    <col min="15368" max="15368" width="10.81640625" style="8" bestFit="1" customWidth="1"/>
    <col min="15369" max="15369" width="4.1796875" style="8" bestFit="1" customWidth="1"/>
    <col min="15370" max="15370" width="4.1796875" style="8" customWidth="1"/>
    <col min="15371" max="15371" width="10.54296875" style="8" bestFit="1" customWidth="1"/>
    <col min="15372" max="15372" width="9.6328125" style="8" bestFit="1" customWidth="1"/>
    <col min="15373" max="15373" width="11.36328125" style="8" bestFit="1" customWidth="1"/>
    <col min="15374" max="15374" width="10.54296875" style="8" bestFit="1" customWidth="1"/>
    <col min="15375" max="15615" width="8.90625" style="8"/>
    <col min="15616" max="15616" width="7.453125" style="8" customWidth="1"/>
    <col min="15617" max="15617" width="0.453125" style="8" customWidth="1"/>
    <col min="15618" max="15618" width="10.81640625" style="8" bestFit="1" customWidth="1"/>
    <col min="15619" max="15619" width="0.453125" style="8" customWidth="1"/>
    <col min="15620" max="15620" width="9.90625" style="8" bestFit="1" customWidth="1"/>
    <col min="15621" max="15621" width="0.453125" style="8" customWidth="1"/>
    <col min="15622" max="15622" width="10.81640625" style="8" bestFit="1" customWidth="1"/>
    <col min="15623" max="15623" width="0.36328125" style="8" customWidth="1"/>
    <col min="15624" max="15624" width="10.81640625" style="8" bestFit="1" customWidth="1"/>
    <col min="15625" max="15625" width="4.1796875" style="8" bestFit="1" customWidth="1"/>
    <col min="15626" max="15626" width="4.1796875" style="8" customWidth="1"/>
    <col min="15627" max="15627" width="10.54296875" style="8" bestFit="1" customWidth="1"/>
    <col min="15628" max="15628" width="9.6328125" style="8" bestFit="1" customWidth="1"/>
    <col min="15629" max="15629" width="11.36328125" style="8" bestFit="1" customWidth="1"/>
    <col min="15630" max="15630" width="10.54296875" style="8" bestFit="1" customWidth="1"/>
    <col min="15631" max="15871" width="8.90625" style="8"/>
    <col min="15872" max="15872" width="7.453125" style="8" customWidth="1"/>
    <col min="15873" max="15873" width="0.453125" style="8" customWidth="1"/>
    <col min="15874" max="15874" width="10.81640625" style="8" bestFit="1" customWidth="1"/>
    <col min="15875" max="15875" width="0.453125" style="8" customWidth="1"/>
    <col min="15876" max="15876" width="9.90625" style="8" bestFit="1" customWidth="1"/>
    <col min="15877" max="15877" width="0.453125" style="8" customWidth="1"/>
    <col min="15878" max="15878" width="10.81640625" style="8" bestFit="1" customWidth="1"/>
    <col min="15879" max="15879" width="0.36328125" style="8" customWidth="1"/>
    <col min="15880" max="15880" width="10.81640625" style="8" bestFit="1" customWidth="1"/>
    <col min="15881" max="15881" width="4.1796875" style="8" bestFit="1" customWidth="1"/>
    <col min="15882" max="15882" width="4.1796875" style="8" customWidth="1"/>
    <col min="15883" max="15883" width="10.54296875" style="8" bestFit="1" customWidth="1"/>
    <col min="15884" max="15884" width="9.6328125" style="8" bestFit="1" customWidth="1"/>
    <col min="15885" max="15885" width="11.36328125" style="8" bestFit="1" customWidth="1"/>
    <col min="15886" max="15886" width="10.54296875" style="8" bestFit="1" customWidth="1"/>
    <col min="15887" max="16127" width="8.90625" style="8"/>
    <col min="16128" max="16128" width="7.453125" style="8" customWidth="1"/>
    <col min="16129" max="16129" width="0.453125" style="8" customWidth="1"/>
    <col min="16130" max="16130" width="10.81640625" style="8" bestFit="1" customWidth="1"/>
    <col min="16131" max="16131" width="0.453125" style="8" customWidth="1"/>
    <col min="16132" max="16132" width="9.90625" style="8" bestFit="1" customWidth="1"/>
    <col min="16133" max="16133" width="0.453125" style="8" customWidth="1"/>
    <col min="16134" max="16134" width="10.81640625" style="8" bestFit="1" customWidth="1"/>
    <col min="16135" max="16135" width="0.36328125" style="8" customWidth="1"/>
    <col min="16136" max="16136" width="10.81640625" style="8" bestFit="1" customWidth="1"/>
    <col min="16137" max="16137" width="4.1796875" style="8" bestFit="1" customWidth="1"/>
    <col min="16138" max="16138" width="4.1796875" style="8" customWidth="1"/>
    <col min="16139" max="16139" width="10.54296875" style="8" bestFit="1" customWidth="1"/>
    <col min="16140" max="16140" width="9.6328125" style="8" bestFit="1" customWidth="1"/>
    <col min="16141" max="16141" width="11.36328125" style="8" bestFit="1" customWidth="1"/>
    <col min="16142" max="16142" width="10.54296875" style="8" bestFit="1" customWidth="1"/>
    <col min="16143" max="16384" width="8.90625" style="8"/>
  </cols>
  <sheetData>
    <row r="1" spans="1:15" x14ac:dyDescent="0.3">
      <c r="B1" s="187"/>
      <c r="H1" s="183" t="s">
        <v>104</v>
      </c>
      <c r="J1" s="184">
        <v>42019</v>
      </c>
    </row>
    <row r="2" spans="1:15" x14ac:dyDescent="0.3">
      <c r="B2" s="187" t="s">
        <v>105</v>
      </c>
      <c r="H2" s="187" t="s">
        <v>106</v>
      </c>
      <c r="J2" s="188">
        <v>40</v>
      </c>
    </row>
    <row r="3" spans="1:15" x14ac:dyDescent="0.3">
      <c r="B3" s="187" t="s">
        <v>127</v>
      </c>
      <c r="H3" s="187" t="s">
        <v>108</v>
      </c>
      <c r="J3" s="190">
        <v>2500000</v>
      </c>
    </row>
    <row r="4" spans="1:15" x14ac:dyDescent="0.3">
      <c r="B4" s="181"/>
      <c r="D4" s="181"/>
      <c r="H4" s="187" t="s">
        <v>8</v>
      </c>
      <c r="J4" s="224">
        <v>3.5000000000000003E-2</v>
      </c>
    </row>
    <row r="5" spans="1:15" x14ac:dyDescent="0.3">
      <c r="B5" s="181"/>
      <c r="D5" s="181"/>
      <c r="H5" s="183" t="s">
        <v>109</v>
      </c>
      <c r="J5" s="190">
        <v>0</v>
      </c>
    </row>
    <row r="6" spans="1:15" x14ac:dyDescent="0.3">
      <c r="B6" s="195" t="s">
        <v>112</v>
      </c>
      <c r="C6" s="194"/>
      <c r="D6" s="195" t="s">
        <v>113</v>
      </c>
      <c r="E6" s="194"/>
      <c r="F6" s="194" t="s">
        <v>3</v>
      </c>
      <c r="G6" s="194"/>
      <c r="H6" s="194" t="s">
        <v>6</v>
      </c>
      <c r="I6" s="194"/>
      <c r="J6" s="194" t="s">
        <v>116</v>
      </c>
      <c r="K6" s="195" t="s">
        <v>23</v>
      </c>
      <c r="L6" s="410" t="s">
        <v>117</v>
      </c>
      <c r="M6" s="411"/>
      <c r="N6" s="411"/>
      <c r="O6" s="412"/>
    </row>
    <row r="7" spans="1:15" x14ac:dyDescent="0.3">
      <c r="B7" s="195"/>
      <c r="C7" s="194"/>
      <c r="D7" s="195"/>
      <c r="E7" s="194"/>
      <c r="F7" s="194"/>
      <c r="G7" s="194"/>
      <c r="H7" s="194"/>
      <c r="I7" s="194"/>
      <c r="J7" s="194"/>
      <c r="K7" s="195"/>
      <c r="L7" s="225"/>
      <c r="M7" s="225"/>
      <c r="N7" s="225"/>
      <c r="O7" s="225"/>
    </row>
    <row r="8" spans="1:15" x14ac:dyDescent="0.3">
      <c r="A8" s="8">
        <v>1</v>
      </c>
      <c r="B8" s="202">
        <f>IF($J$2&gt;=A8,IF(OR(AND(MONTH($J$1)&gt;1,MONTH($J$1)&lt;7),AND(MONTH($J$1)=7,DAY($J$1)&lt;=15),AND(MONTH($J$1)=1,DAY($J$1)&gt;15)),DATE(YEAR($J$1)+1,1,15),IF(OR(AND(MONTH($J$1)&gt;7,MONTH($J$1)&lt;=12),AND(MONTH($J$1)=7,DAY($J$1)&gt;15)),DATE(YEAR($J$1)+1,7,15),DATE(YEAR($J$1),7,15))),"")</f>
        <v>42200</v>
      </c>
      <c r="C8" s="227"/>
      <c r="D8" s="207"/>
      <c r="E8" s="207"/>
      <c r="F8" s="207">
        <f>IF(A8&lt;=$J$2,$J$4*(180/360)*(SUM(D8:$D$88)),"")</f>
        <v>43749.999999999993</v>
      </c>
      <c r="G8" s="207"/>
      <c r="H8" s="207">
        <f>IF(A8&lt;=$J$2,D8+F8,"")</f>
        <v>43749.999999999993</v>
      </c>
      <c r="I8" s="207"/>
      <c r="J8" s="207"/>
      <c r="K8" s="206">
        <f>IF(A8&lt;=$J$2,IF(MONTH(B8)&lt;7,YEAR(B8),YEAR(B8)+1),"")</f>
        <v>2016</v>
      </c>
      <c r="L8" s="207"/>
      <c r="M8" s="207"/>
      <c r="N8" s="207">
        <f>J3-J5</f>
        <v>2500000</v>
      </c>
      <c r="O8" s="207">
        <f>PMT(J4,J2,-(J3-J5))</f>
        <v>117068.20564750068</v>
      </c>
    </row>
    <row r="9" spans="1:15" x14ac:dyDescent="0.3">
      <c r="A9" s="8">
        <v>1</v>
      </c>
      <c r="B9" s="202">
        <f>IF($J$2&gt;=A9,IF(MONTH(B8)=1,DATE(YEAR(B8),7,15),DATE(YEAR(B8)+1,1,15)),"")</f>
        <v>42384</v>
      </c>
      <c r="C9" s="227"/>
      <c r="D9" s="207">
        <f>IF(A9&lt;=$J$2,L9,"")</f>
        <v>29568.205647500668</v>
      </c>
      <c r="E9" s="207"/>
      <c r="F9" s="207">
        <f>IF(A9&lt;=$J$2,$J$4*(180/360)*(SUM(D9:$D$88)),"")</f>
        <v>43749.999999999993</v>
      </c>
      <c r="G9" s="207"/>
      <c r="H9" s="207">
        <f t="shared" ref="H9:H72" si="0">IF(A9&lt;=$J$2,D9+F9,"")</f>
        <v>73318.205647500668</v>
      </c>
      <c r="I9" s="207"/>
      <c r="J9" s="207">
        <f>IF(A9&lt;=$J$2,H8+H9,"")</f>
        <v>117068.20564750067</v>
      </c>
      <c r="K9" s="206">
        <f>IF(A9&lt;=$J$2,IF(MONTH(B9)&lt;7,YEAR(B9),YEAR(B9)+1),"")</f>
        <v>2016</v>
      </c>
      <c r="L9" s="207">
        <f>O9-M9</f>
        <v>29568.205647500668</v>
      </c>
      <c r="M9" s="207">
        <f>N9*$J$4</f>
        <v>87500.000000000015</v>
      </c>
      <c r="N9" s="207">
        <f>J3-J5</f>
        <v>2500000</v>
      </c>
      <c r="O9" s="207">
        <f>PMT(J4,J2,-(J3-J5))</f>
        <v>117068.20564750068</v>
      </c>
    </row>
    <row r="10" spans="1:15" x14ac:dyDescent="0.3">
      <c r="A10" s="8">
        <f>A9+1</f>
        <v>2</v>
      </c>
      <c r="B10" s="197">
        <f t="shared" ref="B10:B73" si="1">IF($J$2&gt;=A10,IF(MONTH(B9)=1,DATE(YEAR(B9),7,15),DATE(YEAR(B9)+1,1,15)),"")</f>
        <v>42566</v>
      </c>
      <c r="C10" s="182"/>
      <c r="D10" s="208"/>
      <c r="E10" s="208"/>
      <c r="F10" s="208">
        <f>IF(A10&lt;=$J$2,$J$4*(180/360)*(SUM(D10:$D$88)),"")</f>
        <v>43232.556401168731</v>
      </c>
      <c r="G10" s="208"/>
      <c r="H10" s="208">
        <f t="shared" si="0"/>
        <v>43232.556401168731</v>
      </c>
      <c r="I10" s="208"/>
      <c r="J10" s="209"/>
      <c r="K10" s="186">
        <f t="shared" ref="K10:K73" si="2">IF(A10&lt;=$J$2,IF(MONTH(B10)&lt;7,YEAR(B10),YEAR(B10)+1),"")</f>
        <v>2017</v>
      </c>
      <c r="L10" s="208"/>
      <c r="M10" s="208"/>
      <c r="N10" s="208">
        <f>N9-L9</f>
        <v>2470431.7943524993</v>
      </c>
      <c r="O10" s="208">
        <f t="shared" ref="O10:O48" si="3">O9</f>
        <v>117068.20564750068</v>
      </c>
    </row>
    <row r="11" spans="1:15" x14ac:dyDescent="0.3">
      <c r="A11" s="8">
        <f>A10</f>
        <v>2</v>
      </c>
      <c r="B11" s="197">
        <f t="shared" si="1"/>
        <v>42750</v>
      </c>
      <c r="C11" s="182"/>
      <c r="D11" s="208">
        <f>IF(A11&lt;=$J$2,L11,"")</f>
        <v>30603.092845163206</v>
      </c>
      <c r="E11" s="208"/>
      <c r="F11" s="208">
        <f>IF(A11&lt;=$J$2,$J$4*(180/360)*(SUM(D11:$D$88)),"")</f>
        <v>43232.556401168731</v>
      </c>
      <c r="G11" s="208"/>
      <c r="H11" s="208">
        <f t="shared" si="0"/>
        <v>73835.649246331945</v>
      </c>
      <c r="I11" s="208"/>
      <c r="J11" s="208">
        <f>IF(A11&lt;=$J$2,H10+H11,"")</f>
        <v>117068.20564750067</v>
      </c>
      <c r="K11" s="210">
        <f t="shared" si="2"/>
        <v>2017</v>
      </c>
      <c r="L11" s="208">
        <f>O11-M11</f>
        <v>30603.092845163206</v>
      </c>
      <c r="M11" s="208">
        <f>N11*$J$4</f>
        <v>86465.112802337477</v>
      </c>
      <c r="N11" s="208">
        <f>N10</f>
        <v>2470431.7943524993</v>
      </c>
      <c r="O11" s="208">
        <f t="shared" si="3"/>
        <v>117068.20564750068</v>
      </c>
    </row>
    <row r="12" spans="1:15" x14ac:dyDescent="0.3">
      <c r="A12" s="8">
        <f t="shared" ref="A12" si="4">A11+1</f>
        <v>3</v>
      </c>
      <c r="B12" s="226">
        <f t="shared" si="1"/>
        <v>42931</v>
      </c>
      <c r="C12" s="227"/>
      <c r="D12" s="207"/>
      <c r="E12" s="207"/>
      <c r="F12" s="207">
        <f>IF(A12&lt;=$J$2,$J$4*(180/360)*(SUM(D12:$D$88)),"")</f>
        <v>42697.002276378385</v>
      </c>
      <c r="G12" s="207"/>
      <c r="H12" s="207">
        <f t="shared" si="0"/>
        <v>42697.002276378385</v>
      </c>
      <c r="I12" s="207"/>
      <c r="J12" s="207"/>
      <c r="K12" s="206">
        <f t="shared" si="2"/>
        <v>2018</v>
      </c>
      <c r="L12" s="207"/>
      <c r="M12" s="207"/>
      <c r="N12" s="207">
        <f>N11-L11</f>
        <v>2439828.701507336</v>
      </c>
      <c r="O12" s="207">
        <f t="shared" si="3"/>
        <v>117068.20564750068</v>
      </c>
    </row>
    <row r="13" spans="1:15" x14ac:dyDescent="0.3">
      <c r="A13" s="8">
        <f t="shared" ref="A13" si="5">A12</f>
        <v>3</v>
      </c>
      <c r="B13" s="226">
        <f t="shared" si="1"/>
        <v>43115</v>
      </c>
      <c r="C13" s="227"/>
      <c r="D13" s="207">
        <f t="shared" ref="D13" si="6">IF(A13&lt;=$J$2,L13,"")</f>
        <v>31674.201094743912</v>
      </c>
      <c r="E13" s="207"/>
      <c r="F13" s="207">
        <f>IF(A13&lt;=$J$2,$J$4*(180/360)*(SUM(D13:$D$88)),"")</f>
        <v>42697.002276378385</v>
      </c>
      <c r="G13" s="207"/>
      <c r="H13" s="207">
        <f t="shared" si="0"/>
        <v>74371.203371122305</v>
      </c>
      <c r="I13" s="207"/>
      <c r="J13" s="207">
        <f t="shared" ref="J13" si="7">IF(A13&lt;=$J$2,H12+H13,"")</f>
        <v>117068.2056475007</v>
      </c>
      <c r="K13" s="206">
        <f t="shared" si="2"/>
        <v>2018</v>
      </c>
      <c r="L13" s="207">
        <f>O13-M13</f>
        <v>31674.201094743912</v>
      </c>
      <c r="M13" s="207">
        <f>N13*$J$4</f>
        <v>85394.004552756771</v>
      </c>
      <c r="N13" s="207">
        <f>N12</f>
        <v>2439828.701507336</v>
      </c>
      <c r="O13" s="207">
        <f t="shared" si="3"/>
        <v>117068.20564750068</v>
      </c>
    </row>
    <row r="14" spans="1:15" x14ac:dyDescent="0.3">
      <c r="A14" s="8">
        <f t="shared" ref="A14" si="8">A13+1</f>
        <v>4</v>
      </c>
      <c r="B14" s="197">
        <f t="shared" si="1"/>
        <v>43296</v>
      </c>
      <c r="C14" s="182"/>
      <c r="D14" s="208"/>
      <c r="E14" s="208"/>
      <c r="F14" s="208">
        <f>IF(A14&lt;=$J$2,$J$4*(180/360)*(SUM(D14:$D$88)),"")</f>
        <v>42142.70375722037</v>
      </c>
      <c r="G14" s="208"/>
      <c r="H14" s="208">
        <f t="shared" si="0"/>
        <v>42142.70375722037</v>
      </c>
      <c r="I14" s="208"/>
      <c r="J14" s="209"/>
      <c r="K14" s="186">
        <f t="shared" si="2"/>
        <v>2019</v>
      </c>
      <c r="L14" s="208"/>
      <c r="M14" s="208"/>
      <c r="N14" s="208">
        <f>N13-L13</f>
        <v>2408154.5004125922</v>
      </c>
      <c r="O14" s="208">
        <f t="shared" si="3"/>
        <v>117068.20564750068</v>
      </c>
    </row>
    <row r="15" spans="1:15" x14ac:dyDescent="0.3">
      <c r="A15" s="8">
        <f t="shared" ref="A15" si="9">A14</f>
        <v>4</v>
      </c>
      <c r="B15" s="197">
        <f t="shared" si="1"/>
        <v>43480</v>
      </c>
      <c r="C15" s="182"/>
      <c r="D15" s="208">
        <f t="shared" ref="D15" si="10">IF(A15&lt;=$J$2,L15,"")</f>
        <v>32782.798133059943</v>
      </c>
      <c r="E15" s="208"/>
      <c r="F15" s="208">
        <f>IF(A15&lt;=$J$2,$J$4*(180/360)*(SUM(D15:$D$88)),"")</f>
        <v>42142.70375722037</v>
      </c>
      <c r="G15" s="208"/>
      <c r="H15" s="208">
        <f t="shared" si="0"/>
        <v>74925.501890280313</v>
      </c>
      <c r="I15" s="208"/>
      <c r="J15" s="208">
        <f t="shared" ref="J15" si="11">IF(A15&lt;=$J$2,H14+H15,"")</f>
        <v>117068.20564750068</v>
      </c>
      <c r="K15" s="210">
        <f t="shared" si="2"/>
        <v>2019</v>
      </c>
      <c r="L15" s="208">
        <f>O15-M15</f>
        <v>32782.798133059943</v>
      </c>
      <c r="M15" s="208">
        <f>N15*$J$4</f>
        <v>84285.40751444074</v>
      </c>
      <c r="N15" s="208">
        <f>N14</f>
        <v>2408154.5004125922</v>
      </c>
      <c r="O15" s="208">
        <f t="shared" si="3"/>
        <v>117068.20564750068</v>
      </c>
    </row>
    <row r="16" spans="1:15" x14ac:dyDescent="0.3">
      <c r="A16" s="8">
        <f t="shared" ref="A16" si="12">A15+1</f>
        <v>5</v>
      </c>
      <c r="B16" s="226">
        <f t="shared" si="1"/>
        <v>43661</v>
      </c>
      <c r="C16" s="227"/>
      <c r="D16" s="207"/>
      <c r="E16" s="207"/>
      <c r="F16" s="207">
        <f>IF(A16&lt;=$J$2,$J$4*(180/360)*(SUM(D16:$D$88)),"")</f>
        <v>41569.00478989182</v>
      </c>
      <c r="G16" s="207"/>
      <c r="H16" s="207">
        <f t="shared" si="0"/>
        <v>41569.00478989182</v>
      </c>
      <c r="I16" s="207"/>
      <c r="J16" s="207"/>
      <c r="K16" s="206">
        <f t="shared" si="2"/>
        <v>2020</v>
      </c>
      <c r="L16" s="207"/>
      <c r="M16" s="207"/>
      <c r="N16" s="207">
        <f>N15-L15</f>
        <v>2375371.7022795323</v>
      </c>
      <c r="O16" s="207">
        <f t="shared" si="3"/>
        <v>117068.20564750068</v>
      </c>
    </row>
    <row r="17" spans="1:15" x14ac:dyDescent="0.3">
      <c r="A17" s="8">
        <f t="shared" ref="A17" si="13">A16</f>
        <v>5</v>
      </c>
      <c r="B17" s="226">
        <f t="shared" si="1"/>
        <v>43845</v>
      </c>
      <c r="C17" s="227"/>
      <c r="D17" s="207">
        <f t="shared" ref="D17" si="14">IF(A17&lt;=$J$2,L17,"")</f>
        <v>33930.196067717043</v>
      </c>
      <c r="E17" s="207"/>
      <c r="F17" s="207">
        <f>IF(A17&lt;=$J$2,$J$4*(180/360)*(SUM(D17:$D$88)),"")</f>
        <v>41569.00478989182</v>
      </c>
      <c r="G17" s="207"/>
      <c r="H17" s="207">
        <f t="shared" si="0"/>
        <v>75499.20085760887</v>
      </c>
      <c r="I17" s="207"/>
      <c r="J17" s="207">
        <f t="shared" ref="J17" si="15">IF(A17&lt;=$J$2,H16+H17,"")</f>
        <v>117068.2056475007</v>
      </c>
      <c r="K17" s="206">
        <f t="shared" si="2"/>
        <v>2020</v>
      </c>
      <c r="L17" s="207">
        <f>O17-M17</f>
        <v>33930.196067717043</v>
      </c>
      <c r="M17" s="207">
        <f>N17*$J$4</f>
        <v>83138.00957978364</v>
      </c>
      <c r="N17" s="207">
        <f>N16</f>
        <v>2375371.7022795323</v>
      </c>
      <c r="O17" s="207">
        <f t="shared" si="3"/>
        <v>117068.20564750068</v>
      </c>
    </row>
    <row r="18" spans="1:15" x14ac:dyDescent="0.3">
      <c r="A18" s="8">
        <f t="shared" ref="A18" si="16">A17+1</f>
        <v>6</v>
      </c>
      <c r="B18" s="197">
        <f t="shared" si="1"/>
        <v>44027</v>
      </c>
      <c r="C18" s="182"/>
      <c r="D18" s="208"/>
      <c r="E18" s="208"/>
      <c r="F18" s="208">
        <f>IF(A18&lt;=$J$2,$J$4*(180/360)*(SUM(D18:$D$88)),"")</f>
        <v>40975.226358706765</v>
      </c>
      <c r="G18" s="208"/>
      <c r="H18" s="208">
        <f t="shared" si="0"/>
        <v>40975.226358706765</v>
      </c>
      <c r="I18" s="208"/>
      <c r="J18" s="209"/>
      <c r="K18" s="186">
        <f t="shared" si="2"/>
        <v>2021</v>
      </c>
      <c r="L18" s="208"/>
      <c r="M18" s="208"/>
      <c r="N18" s="208">
        <f>N17-L17</f>
        <v>2341441.5062118154</v>
      </c>
      <c r="O18" s="208">
        <f t="shared" si="3"/>
        <v>117068.20564750068</v>
      </c>
    </row>
    <row r="19" spans="1:15" x14ac:dyDescent="0.3">
      <c r="A19" s="8">
        <f t="shared" ref="A19" si="17">A18</f>
        <v>6</v>
      </c>
      <c r="B19" s="197">
        <f t="shared" si="1"/>
        <v>44211</v>
      </c>
      <c r="C19" s="182"/>
      <c r="D19" s="208">
        <f t="shared" ref="D19" si="18">IF(A19&lt;=$J$2,L19,"")</f>
        <v>35117.752930087139</v>
      </c>
      <c r="E19" s="208"/>
      <c r="F19" s="208">
        <f>IF(A19&lt;=$J$2,$J$4*(180/360)*(SUM(D19:$D$88)),"")</f>
        <v>40975.226358706765</v>
      </c>
      <c r="G19" s="208"/>
      <c r="H19" s="208">
        <f t="shared" si="0"/>
        <v>76092.979288793897</v>
      </c>
      <c r="I19" s="208"/>
      <c r="J19" s="208">
        <f t="shared" ref="J19" si="19">IF(A19&lt;=$J$2,H18+H19,"")</f>
        <v>117068.20564750067</v>
      </c>
      <c r="K19" s="210">
        <f t="shared" si="2"/>
        <v>2021</v>
      </c>
      <c r="L19" s="208">
        <f>O19-M19</f>
        <v>35117.752930087139</v>
      </c>
      <c r="M19" s="208">
        <f>N19*$J$4</f>
        <v>81950.452717413544</v>
      </c>
      <c r="N19" s="208">
        <f>N18</f>
        <v>2341441.5062118154</v>
      </c>
      <c r="O19" s="208">
        <f t="shared" si="3"/>
        <v>117068.20564750068</v>
      </c>
    </row>
    <row r="20" spans="1:15" x14ac:dyDescent="0.3">
      <c r="A20" s="8">
        <f t="shared" ref="A20" si="20">A19+1</f>
        <v>7</v>
      </c>
      <c r="B20" s="226">
        <f t="shared" si="1"/>
        <v>44392</v>
      </c>
      <c r="C20" s="227"/>
      <c r="D20" s="207"/>
      <c r="E20" s="207"/>
      <c r="F20" s="207">
        <f>IF(A20&lt;=$J$2,$J$4*(180/360)*(SUM(D20:$D$88)),"")</f>
        <v>40360.665682430241</v>
      </c>
      <c r="G20" s="207"/>
      <c r="H20" s="207">
        <f t="shared" si="0"/>
        <v>40360.665682430241</v>
      </c>
      <c r="I20" s="207"/>
      <c r="J20" s="207"/>
      <c r="K20" s="206">
        <f t="shared" si="2"/>
        <v>2022</v>
      </c>
      <c r="L20" s="207"/>
      <c r="M20" s="207"/>
      <c r="N20" s="207">
        <f>N19-L19</f>
        <v>2306323.7532817284</v>
      </c>
      <c r="O20" s="207">
        <f t="shared" si="3"/>
        <v>117068.20564750068</v>
      </c>
    </row>
    <row r="21" spans="1:15" x14ac:dyDescent="0.3">
      <c r="A21" s="8">
        <f t="shared" ref="A21" si="21">A20</f>
        <v>7</v>
      </c>
      <c r="B21" s="226">
        <f t="shared" si="1"/>
        <v>44576</v>
      </c>
      <c r="C21" s="227"/>
      <c r="D21" s="207">
        <f t="shared" ref="D21" si="22">IF(A21&lt;=$J$2,L21,"")</f>
        <v>36346.874282640187</v>
      </c>
      <c r="E21" s="207"/>
      <c r="F21" s="207">
        <f>IF(A21&lt;=$J$2,$J$4*(180/360)*(SUM(D21:$D$88)),"")</f>
        <v>40360.665682430241</v>
      </c>
      <c r="G21" s="207"/>
      <c r="H21" s="207">
        <f t="shared" si="0"/>
        <v>76707.539965070435</v>
      </c>
      <c r="I21" s="207"/>
      <c r="J21" s="207">
        <f t="shared" ref="J21" si="23">IF(A21&lt;=$J$2,H20+H21,"")</f>
        <v>117068.20564750067</v>
      </c>
      <c r="K21" s="206">
        <f t="shared" si="2"/>
        <v>2022</v>
      </c>
      <c r="L21" s="207">
        <f>O21-M21</f>
        <v>36346.874282640187</v>
      </c>
      <c r="M21" s="207">
        <f>N21*$J$4</f>
        <v>80721.331364860496</v>
      </c>
      <c r="N21" s="207">
        <f>N20</f>
        <v>2306323.7532817284</v>
      </c>
      <c r="O21" s="207">
        <f t="shared" si="3"/>
        <v>117068.20564750068</v>
      </c>
    </row>
    <row r="22" spans="1:15" x14ac:dyDescent="0.3">
      <c r="A22" s="8">
        <f t="shared" ref="A22" si="24">A21+1</f>
        <v>8</v>
      </c>
      <c r="B22" s="197">
        <f t="shared" si="1"/>
        <v>44757</v>
      </c>
      <c r="C22" s="182"/>
      <c r="D22" s="208"/>
      <c r="E22" s="208"/>
      <c r="F22" s="208">
        <f>IF(A22&lt;=$J$2,$J$4*(180/360)*(SUM(D22:$D$88)),"")</f>
        <v>39724.595382484033</v>
      </c>
      <c r="G22" s="208"/>
      <c r="H22" s="208">
        <f t="shared" si="0"/>
        <v>39724.595382484033</v>
      </c>
      <c r="I22" s="208"/>
      <c r="J22" s="209"/>
      <c r="K22" s="186">
        <f t="shared" si="2"/>
        <v>2023</v>
      </c>
      <c r="L22" s="208"/>
      <c r="M22" s="208"/>
      <c r="N22" s="208">
        <f>N21-L21</f>
        <v>2269976.878999088</v>
      </c>
      <c r="O22" s="208">
        <f t="shared" si="3"/>
        <v>117068.20564750068</v>
      </c>
    </row>
    <row r="23" spans="1:15" x14ac:dyDescent="0.3">
      <c r="A23" s="8">
        <f t="shared" ref="A23" si="25">A22</f>
        <v>8</v>
      </c>
      <c r="B23" s="197">
        <f t="shared" si="1"/>
        <v>44941</v>
      </c>
      <c r="C23" s="182"/>
      <c r="D23" s="208">
        <f t="shared" ref="D23" si="26">IF(A23&lt;=$J$2,L23,"")</f>
        <v>37619.014882532603</v>
      </c>
      <c r="E23" s="208"/>
      <c r="F23" s="208">
        <f>IF(A23&lt;=$J$2,$J$4*(180/360)*(SUM(D23:$D$88)),"")</f>
        <v>39724.595382484033</v>
      </c>
      <c r="G23" s="208"/>
      <c r="H23" s="208">
        <f t="shared" si="0"/>
        <v>77343.610265016643</v>
      </c>
      <c r="I23" s="208"/>
      <c r="J23" s="208">
        <f t="shared" ref="J23" si="27">IF(A23&lt;=$J$2,H22+H23,"")</f>
        <v>117068.20564750067</v>
      </c>
      <c r="K23" s="210">
        <f t="shared" si="2"/>
        <v>2023</v>
      </c>
      <c r="L23" s="208">
        <f>O23-M23</f>
        <v>37619.014882532603</v>
      </c>
      <c r="M23" s="208">
        <f>N23*$J$4</f>
        <v>79449.19076496808</v>
      </c>
      <c r="N23" s="208">
        <f>N22</f>
        <v>2269976.878999088</v>
      </c>
      <c r="O23" s="208">
        <f t="shared" si="3"/>
        <v>117068.20564750068</v>
      </c>
    </row>
    <row r="24" spans="1:15" x14ac:dyDescent="0.3">
      <c r="A24" s="8">
        <f t="shared" ref="A24" si="28">A23+1</f>
        <v>9</v>
      </c>
      <c r="B24" s="226">
        <f t="shared" si="1"/>
        <v>45122</v>
      </c>
      <c r="C24" s="227"/>
      <c r="D24" s="207"/>
      <c r="E24" s="207"/>
      <c r="F24" s="207">
        <f>IF(A24&lt;=$J$2,$J$4*(180/360)*(SUM(D24:$D$88)),"")</f>
        <v>39066.262622039714</v>
      </c>
      <c r="G24" s="207"/>
      <c r="H24" s="207">
        <f t="shared" si="0"/>
        <v>39066.262622039714</v>
      </c>
      <c r="I24" s="207"/>
      <c r="J24" s="207"/>
      <c r="K24" s="206">
        <f t="shared" si="2"/>
        <v>2024</v>
      </c>
      <c r="L24" s="207"/>
      <c r="M24" s="207"/>
      <c r="N24" s="207">
        <f>N23-L23</f>
        <v>2232357.8641165555</v>
      </c>
      <c r="O24" s="207">
        <f t="shared" si="3"/>
        <v>117068.20564750068</v>
      </c>
    </row>
    <row r="25" spans="1:15" x14ac:dyDescent="0.3">
      <c r="A25" s="8">
        <f t="shared" ref="A25" si="29">A24</f>
        <v>9</v>
      </c>
      <c r="B25" s="226">
        <f t="shared" si="1"/>
        <v>45306</v>
      </c>
      <c r="C25" s="227"/>
      <c r="D25" s="207">
        <f t="shared" ref="D25" si="30">IF(A25&lt;=$J$2,L25,"")</f>
        <v>38935.680403421225</v>
      </c>
      <c r="E25" s="207"/>
      <c r="F25" s="207">
        <f>IF(A25&lt;=$J$2,$J$4*(180/360)*(SUM(D25:$D$88)),"")</f>
        <v>39066.262622039714</v>
      </c>
      <c r="G25" s="207"/>
      <c r="H25" s="207">
        <f t="shared" si="0"/>
        <v>78001.943025460932</v>
      </c>
      <c r="I25" s="207"/>
      <c r="J25" s="207">
        <f t="shared" ref="J25" si="31">IF(A25&lt;=$J$2,H24+H25,"")</f>
        <v>117068.20564750064</v>
      </c>
      <c r="K25" s="206">
        <f t="shared" si="2"/>
        <v>2024</v>
      </c>
      <c r="L25" s="207">
        <f>O25-M25</f>
        <v>38935.680403421225</v>
      </c>
      <c r="M25" s="207">
        <f>N25*$J$4</f>
        <v>78132.525244079457</v>
      </c>
      <c r="N25" s="207">
        <f>N24</f>
        <v>2232357.8641165555</v>
      </c>
      <c r="O25" s="207">
        <f t="shared" si="3"/>
        <v>117068.20564750068</v>
      </c>
    </row>
    <row r="26" spans="1:15" x14ac:dyDescent="0.3">
      <c r="A26" s="8">
        <f t="shared" ref="A26" si="32">A25+1</f>
        <v>10</v>
      </c>
      <c r="B26" s="197">
        <f t="shared" si="1"/>
        <v>45488</v>
      </c>
      <c r="C26" s="182"/>
      <c r="D26" s="208"/>
      <c r="E26" s="208"/>
      <c r="F26" s="208">
        <f>IF(A26&lt;=$J$2,$J$4*(180/360)*(SUM(D26:$D$88)),"")</f>
        <v>38384.888214979845</v>
      </c>
      <c r="G26" s="208"/>
      <c r="H26" s="208">
        <f t="shared" si="0"/>
        <v>38384.888214979845</v>
      </c>
      <c r="I26" s="208"/>
      <c r="J26" s="209"/>
      <c r="K26" s="186">
        <f t="shared" si="2"/>
        <v>2025</v>
      </c>
      <c r="L26" s="208"/>
      <c r="M26" s="208"/>
      <c r="N26" s="208">
        <f>N25-L25</f>
        <v>2193422.1837131344</v>
      </c>
      <c r="O26" s="208">
        <f t="shared" si="3"/>
        <v>117068.20564750068</v>
      </c>
    </row>
    <row r="27" spans="1:15" x14ac:dyDescent="0.3">
      <c r="A27" s="8">
        <f t="shared" ref="A27" si="33">A26</f>
        <v>10</v>
      </c>
      <c r="B27" s="197">
        <f t="shared" si="1"/>
        <v>45672</v>
      </c>
      <c r="C27" s="182"/>
      <c r="D27" s="208">
        <f t="shared" ref="D27" si="34">IF(A27&lt;=$J$2,L27,"")</f>
        <v>40298.429217540979</v>
      </c>
      <c r="E27" s="208"/>
      <c r="F27" s="208">
        <f>IF(A27&lt;=$J$2,$J$4*(180/360)*(SUM(D27:$D$88)),"")</f>
        <v>38384.888214979845</v>
      </c>
      <c r="G27" s="208"/>
      <c r="H27" s="208">
        <f t="shared" si="0"/>
        <v>78683.317432520824</v>
      </c>
      <c r="I27" s="208"/>
      <c r="J27" s="208">
        <f t="shared" ref="J27" si="35">IF(A27&lt;=$J$2,H26+H27,"")</f>
        <v>117068.20564750067</v>
      </c>
      <c r="K27" s="210">
        <f t="shared" si="2"/>
        <v>2025</v>
      </c>
      <c r="L27" s="208">
        <f>O27-M27</f>
        <v>40298.429217540979</v>
      </c>
      <c r="M27" s="208">
        <f>N27*$J$4</f>
        <v>76769.776429959704</v>
      </c>
      <c r="N27" s="208">
        <f>N26</f>
        <v>2193422.1837131344</v>
      </c>
      <c r="O27" s="208">
        <f t="shared" si="3"/>
        <v>117068.20564750068</v>
      </c>
    </row>
    <row r="28" spans="1:15" x14ac:dyDescent="0.3">
      <c r="A28" s="8">
        <f t="shared" ref="A28" si="36">A27+1</f>
        <v>11</v>
      </c>
      <c r="B28" s="226">
        <f t="shared" si="1"/>
        <v>45853</v>
      </c>
      <c r="C28" s="227"/>
      <c r="D28" s="207"/>
      <c r="E28" s="207"/>
      <c r="F28" s="207">
        <f>IF(A28&lt;=$J$2,$J$4*(180/360)*(SUM(D28:$D$88)),"")</f>
        <v>37679.665703672879</v>
      </c>
      <c r="G28" s="207"/>
      <c r="H28" s="207">
        <f t="shared" si="0"/>
        <v>37679.665703672879</v>
      </c>
      <c r="I28" s="207"/>
      <c r="J28" s="207"/>
      <c r="K28" s="206">
        <f t="shared" si="2"/>
        <v>2026</v>
      </c>
      <c r="L28" s="207"/>
      <c r="M28" s="207"/>
      <c r="N28" s="207">
        <f>N27-L27</f>
        <v>2153123.7544955933</v>
      </c>
      <c r="O28" s="207">
        <f t="shared" si="3"/>
        <v>117068.20564750068</v>
      </c>
    </row>
    <row r="29" spans="1:15" x14ac:dyDescent="0.3">
      <c r="A29" s="8">
        <f t="shared" ref="A29" si="37">A28</f>
        <v>11</v>
      </c>
      <c r="B29" s="226">
        <f t="shared" si="1"/>
        <v>46037</v>
      </c>
      <c r="C29" s="227"/>
      <c r="D29" s="207">
        <f t="shared" ref="D29" si="38">IF(A29&lt;=$J$2,L29,"")</f>
        <v>41708.87424015491</v>
      </c>
      <c r="E29" s="207"/>
      <c r="F29" s="207">
        <f>IF(A29&lt;=$J$2,$J$4*(180/360)*(SUM(D29:$D$88)),"")</f>
        <v>37679.665703672879</v>
      </c>
      <c r="G29" s="207"/>
      <c r="H29" s="207">
        <f t="shared" si="0"/>
        <v>79388.539943827782</v>
      </c>
      <c r="I29" s="207"/>
      <c r="J29" s="207">
        <f t="shared" ref="J29" si="39">IF(A29&lt;=$J$2,H28+H29,"")</f>
        <v>117068.20564750067</v>
      </c>
      <c r="K29" s="206">
        <f t="shared" si="2"/>
        <v>2026</v>
      </c>
      <c r="L29" s="207">
        <f>O29-M29</f>
        <v>41708.87424015491</v>
      </c>
      <c r="M29" s="207">
        <f>N29*$J$4</f>
        <v>75359.331407345773</v>
      </c>
      <c r="N29" s="207">
        <f>N28</f>
        <v>2153123.7544955933</v>
      </c>
      <c r="O29" s="207">
        <f t="shared" si="3"/>
        <v>117068.20564750068</v>
      </c>
    </row>
    <row r="30" spans="1:15" x14ac:dyDescent="0.3">
      <c r="A30" s="8">
        <f t="shared" ref="A30" si="40">A29+1</f>
        <v>12</v>
      </c>
      <c r="B30" s="197">
        <f t="shared" si="1"/>
        <v>46218</v>
      </c>
      <c r="C30" s="182"/>
      <c r="D30" s="208"/>
      <c r="E30" s="208"/>
      <c r="F30" s="208">
        <f>IF(A30&lt;=$J$2,$J$4*(180/360)*(SUM(D30:$D$88)),"")</f>
        <v>36949.760404470166</v>
      </c>
      <c r="G30" s="208"/>
      <c r="H30" s="208">
        <f t="shared" si="0"/>
        <v>36949.760404470166</v>
      </c>
      <c r="I30" s="208"/>
      <c r="J30" s="209"/>
      <c r="K30" s="186">
        <f t="shared" si="2"/>
        <v>2027</v>
      </c>
      <c r="L30" s="208"/>
      <c r="M30" s="208"/>
      <c r="N30" s="208">
        <f>N29-L29</f>
        <v>2111414.8802554384</v>
      </c>
      <c r="O30" s="208">
        <f t="shared" si="3"/>
        <v>117068.20564750068</v>
      </c>
    </row>
    <row r="31" spans="1:15" x14ac:dyDescent="0.3">
      <c r="A31" s="8">
        <f t="shared" ref="A31" si="41">A30</f>
        <v>12</v>
      </c>
      <c r="B31" s="197">
        <f t="shared" si="1"/>
        <v>46402</v>
      </c>
      <c r="C31" s="182"/>
      <c r="D31" s="208">
        <f t="shared" ref="D31" si="42">IF(A31&lt;=$J$2,L31,"")</f>
        <v>43168.684838560337</v>
      </c>
      <c r="E31" s="208"/>
      <c r="F31" s="208">
        <f>IF(A31&lt;=$J$2,$J$4*(180/360)*(SUM(D31:$D$88)),"")</f>
        <v>36949.760404470166</v>
      </c>
      <c r="G31" s="208"/>
      <c r="H31" s="208">
        <f t="shared" si="0"/>
        <v>80118.445243030495</v>
      </c>
      <c r="I31" s="208"/>
      <c r="J31" s="208">
        <f t="shared" ref="J31" si="43">IF(A31&lt;=$J$2,H30+H31,"")</f>
        <v>117068.20564750067</v>
      </c>
      <c r="K31" s="210">
        <f t="shared" si="2"/>
        <v>2027</v>
      </c>
      <c r="L31" s="208">
        <f>O31-M31</f>
        <v>43168.684838560337</v>
      </c>
      <c r="M31" s="208">
        <f>N31*$J$4</f>
        <v>73899.520808940346</v>
      </c>
      <c r="N31" s="208">
        <f>N30</f>
        <v>2111414.8802554384</v>
      </c>
      <c r="O31" s="208">
        <f t="shared" si="3"/>
        <v>117068.20564750068</v>
      </c>
    </row>
    <row r="32" spans="1:15" x14ac:dyDescent="0.3">
      <c r="A32" s="8">
        <f t="shared" ref="A32" si="44">A31+1</f>
        <v>13</v>
      </c>
      <c r="B32" s="226">
        <f t="shared" si="1"/>
        <v>46583</v>
      </c>
      <c r="C32" s="227"/>
      <c r="D32" s="207"/>
      <c r="E32" s="207"/>
      <c r="F32" s="207">
        <f>IF(A32&lt;=$J$2,$J$4*(180/360)*(SUM(D32:$D$88)),"")</f>
        <v>36194.308419795358</v>
      </c>
      <c r="G32" s="207"/>
      <c r="H32" s="207">
        <f t="shared" si="0"/>
        <v>36194.308419795358</v>
      </c>
      <c r="I32" s="207"/>
      <c r="J32" s="207"/>
      <c r="K32" s="206">
        <f t="shared" si="2"/>
        <v>2028</v>
      </c>
      <c r="L32" s="207"/>
      <c r="M32" s="207"/>
      <c r="N32" s="207">
        <f>N31-L31</f>
        <v>2068246.195416878</v>
      </c>
      <c r="O32" s="207">
        <f t="shared" si="3"/>
        <v>117068.20564750068</v>
      </c>
    </row>
    <row r="33" spans="1:15" x14ac:dyDescent="0.3">
      <c r="A33" s="8">
        <f t="shared" ref="A33" si="45">A32</f>
        <v>13</v>
      </c>
      <c r="B33" s="226">
        <f t="shared" si="1"/>
        <v>46767</v>
      </c>
      <c r="C33" s="227"/>
      <c r="D33" s="207">
        <f t="shared" ref="D33" si="46">IF(A33&lt;=$J$2,L33,"")</f>
        <v>44679.588807909953</v>
      </c>
      <c r="E33" s="207"/>
      <c r="F33" s="207">
        <f>IF(A33&lt;=$J$2,$J$4*(180/360)*(SUM(D33:$D$88)),"")</f>
        <v>36194.308419795358</v>
      </c>
      <c r="G33" s="207"/>
      <c r="H33" s="207">
        <f t="shared" si="0"/>
        <v>80873.897227705311</v>
      </c>
      <c r="I33" s="207"/>
      <c r="J33" s="207">
        <f t="shared" ref="J33" si="47">IF(A33&lt;=$J$2,H32+H33,"")</f>
        <v>117068.20564750067</v>
      </c>
      <c r="K33" s="206">
        <f t="shared" si="2"/>
        <v>2028</v>
      </c>
      <c r="L33" s="207">
        <f>O33-M33</f>
        <v>44679.588807909953</v>
      </c>
      <c r="M33" s="207">
        <f>N33*$J$4</f>
        <v>72388.61683959073</v>
      </c>
      <c r="N33" s="207">
        <f>N32</f>
        <v>2068246.195416878</v>
      </c>
      <c r="O33" s="207">
        <f t="shared" si="3"/>
        <v>117068.20564750068</v>
      </c>
    </row>
    <row r="34" spans="1:15" x14ac:dyDescent="0.3">
      <c r="A34" s="8">
        <f t="shared" ref="A34" si="48">A33+1</f>
        <v>14</v>
      </c>
      <c r="B34" s="197">
        <f t="shared" si="1"/>
        <v>46949</v>
      </c>
      <c r="C34" s="182"/>
      <c r="D34" s="208"/>
      <c r="E34" s="208"/>
      <c r="F34" s="208">
        <f>IF(A34&lt;=$J$2,$J$4*(180/360)*(SUM(D34:$D$88)),"")</f>
        <v>35412.415615656937</v>
      </c>
      <c r="G34" s="208"/>
      <c r="H34" s="208">
        <f t="shared" si="0"/>
        <v>35412.415615656937</v>
      </c>
      <c r="I34" s="208"/>
      <c r="J34" s="209"/>
      <c r="K34" s="186">
        <f t="shared" si="2"/>
        <v>2029</v>
      </c>
      <c r="L34" s="208"/>
      <c r="M34" s="208"/>
      <c r="N34" s="208">
        <f>N33-L33</f>
        <v>2023566.606608968</v>
      </c>
      <c r="O34" s="208">
        <f t="shared" si="3"/>
        <v>117068.20564750068</v>
      </c>
    </row>
    <row r="35" spans="1:15" x14ac:dyDescent="0.3">
      <c r="A35" s="8">
        <f t="shared" ref="A35" si="49">A34</f>
        <v>14</v>
      </c>
      <c r="B35" s="197">
        <f t="shared" si="1"/>
        <v>47133</v>
      </c>
      <c r="C35" s="182"/>
      <c r="D35" s="208">
        <f t="shared" ref="D35" si="50">IF(A35&lt;=$J$2,L35,"")</f>
        <v>46243.374416186794</v>
      </c>
      <c r="E35" s="208"/>
      <c r="F35" s="208">
        <f>IF(A35&lt;=$J$2,$J$4*(180/360)*(SUM(D35:$D$88)),"")</f>
        <v>35412.415615656937</v>
      </c>
      <c r="G35" s="208"/>
      <c r="H35" s="208">
        <f t="shared" si="0"/>
        <v>81655.790031843731</v>
      </c>
      <c r="I35" s="208"/>
      <c r="J35" s="208">
        <f t="shared" ref="J35" si="51">IF(A35&lt;=$J$2,H34+H35,"")</f>
        <v>117068.20564750067</v>
      </c>
      <c r="K35" s="210">
        <f t="shared" si="2"/>
        <v>2029</v>
      </c>
      <c r="L35" s="208">
        <f>O35-M35</f>
        <v>46243.374416186794</v>
      </c>
      <c r="M35" s="208">
        <f>N35*$J$4</f>
        <v>70824.831231313889</v>
      </c>
      <c r="N35" s="208">
        <f>N34</f>
        <v>2023566.606608968</v>
      </c>
      <c r="O35" s="208">
        <f t="shared" si="3"/>
        <v>117068.20564750068</v>
      </c>
    </row>
    <row r="36" spans="1:15" x14ac:dyDescent="0.3">
      <c r="A36" s="8">
        <f t="shared" ref="A36" si="52">A35+1</f>
        <v>15</v>
      </c>
      <c r="B36" s="226">
        <f t="shared" si="1"/>
        <v>47314</v>
      </c>
      <c r="C36" s="227"/>
      <c r="D36" s="207"/>
      <c r="E36" s="207"/>
      <c r="F36" s="207">
        <f>IF(A36&lt;=$J$2,$J$4*(180/360)*(SUM(D36:$D$88)),"")</f>
        <v>34603.156563373668</v>
      </c>
      <c r="G36" s="207"/>
      <c r="H36" s="207">
        <f t="shared" si="0"/>
        <v>34603.156563373668</v>
      </c>
      <c r="I36" s="207"/>
      <c r="J36" s="207"/>
      <c r="K36" s="206">
        <f t="shared" si="2"/>
        <v>2030</v>
      </c>
      <c r="L36" s="207"/>
      <c r="M36" s="207"/>
      <c r="N36" s="207">
        <f>N35-L35</f>
        <v>1977323.2321927813</v>
      </c>
      <c r="O36" s="207">
        <f t="shared" si="3"/>
        <v>117068.20564750068</v>
      </c>
    </row>
    <row r="37" spans="1:15" x14ac:dyDescent="0.3">
      <c r="A37" s="8">
        <f t="shared" ref="A37" si="53">A36</f>
        <v>15</v>
      </c>
      <c r="B37" s="226">
        <f t="shared" si="1"/>
        <v>47498</v>
      </c>
      <c r="C37" s="227"/>
      <c r="D37" s="207">
        <f t="shared" ref="D37" si="54">IF(A37&lt;=$J$2,L37,"")</f>
        <v>47861.892520753332</v>
      </c>
      <c r="E37" s="207"/>
      <c r="F37" s="207">
        <f>IF(A37&lt;=$J$2,$J$4*(180/360)*(SUM(D37:$D$88)),"")</f>
        <v>34603.156563373668</v>
      </c>
      <c r="G37" s="207"/>
      <c r="H37" s="207">
        <f t="shared" si="0"/>
        <v>82465.049084127008</v>
      </c>
      <c r="I37" s="207"/>
      <c r="J37" s="207">
        <f t="shared" ref="J37" si="55">IF(A37&lt;=$J$2,H36+H37,"")</f>
        <v>117068.20564750067</v>
      </c>
      <c r="K37" s="206">
        <f t="shared" si="2"/>
        <v>2030</v>
      </c>
      <c r="L37" s="207">
        <f>O37-M37</f>
        <v>47861.892520753332</v>
      </c>
      <c r="M37" s="207">
        <f>N37*$J$4</f>
        <v>69206.313126747351</v>
      </c>
      <c r="N37" s="207">
        <f>N36</f>
        <v>1977323.2321927813</v>
      </c>
      <c r="O37" s="207">
        <f t="shared" si="3"/>
        <v>117068.20564750068</v>
      </c>
    </row>
    <row r="38" spans="1:15" x14ac:dyDescent="0.3">
      <c r="A38" s="8">
        <f t="shared" ref="A38" si="56">A37+1</f>
        <v>16</v>
      </c>
      <c r="B38" s="197">
        <f t="shared" si="1"/>
        <v>47679</v>
      </c>
      <c r="C38" s="182"/>
      <c r="D38" s="208"/>
      <c r="E38" s="208"/>
      <c r="F38" s="208">
        <f>IF(A38&lt;=$J$2,$J$4*(180/360)*(SUM(D38:$D$88)),"")</f>
        <v>33765.573444260481</v>
      </c>
      <c r="G38" s="208"/>
      <c r="H38" s="208">
        <f t="shared" si="0"/>
        <v>33765.573444260481</v>
      </c>
      <c r="I38" s="208"/>
      <c r="J38" s="209"/>
      <c r="K38" s="186">
        <f t="shared" si="2"/>
        <v>2031</v>
      </c>
      <c r="L38" s="208"/>
      <c r="M38" s="208"/>
      <c r="N38" s="208">
        <f>N37-L37</f>
        <v>1929461.3396720279</v>
      </c>
      <c r="O38" s="208">
        <f t="shared" si="3"/>
        <v>117068.20564750068</v>
      </c>
    </row>
    <row r="39" spans="1:15" x14ac:dyDescent="0.3">
      <c r="A39" s="8">
        <f t="shared" ref="A39" si="57">A38</f>
        <v>16</v>
      </c>
      <c r="B39" s="197">
        <f t="shared" si="1"/>
        <v>47863</v>
      </c>
      <c r="C39" s="182"/>
      <c r="D39" s="208">
        <f t="shared" ref="D39" si="58">IF(A39&lt;=$J$2,L39,"")</f>
        <v>49537.058758979707</v>
      </c>
      <c r="E39" s="208"/>
      <c r="F39" s="208">
        <f>IF(A39&lt;=$J$2,$J$4*(180/360)*(SUM(D39:$D$88)),"")</f>
        <v>33765.573444260481</v>
      </c>
      <c r="G39" s="208"/>
      <c r="H39" s="208">
        <f t="shared" si="0"/>
        <v>83302.63220324018</v>
      </c>
      <c r="I39" s="208"/>
      <c r="J39" s="208">
        <f t="shared" ref="J39" si="59">IF(A39&lt;=$J$2,H38+H39,"")</f>
        <v>117068.20564750067</v>
      </c>
      <c r="K39" s="210">
        <f t="shared" si="2"/>
        <v>2031</v>
      </c>
      <c r="L39" s="208">
        <f>O39-M39</f>
        <v>49537.058758979707</v>
      </c>
      <c r="M39" s="208">
        <f>N39*$J$4</f>
        <v>67531.146888520976</v>
      </c>
      <c r="N39" s="208">
        <f>N38</f>
        <v>1929461.3396720279</v>
      </c>
      <c r="O39" s="208">
        <f t="shared" si="3"/>
        <v>117068.20564750068</v>
      </c>
    </row>
    <row r="40" spans="1:15" x14ac:dyDescent="0.3">
      <c r="A40" s="8">
        <f t="shared" ref="A40" si="60">A39+1</f>
        <v>17</v>
      </c>
      <c r="B40" s="226">
        <f t="shared" si="1"/>
        <v>48044</v>
      </c>
      <c r="C40" s="227"/>
      <c r="D40" s="207"/>
      <c r="E40" s="207"/>
      <c r="F40" s="207">
        <f>IF(A40&lt;=$J$2,$J$4*(180/360)*(SUM(D40:$D$88)),"")</f>
        <v>32898.674915978336</v>
      </c>
      <c r="G40" s="207"/>
      <c r="H40" s="207">
        <f t="shared" si="0"/>
        <v>32898.674915978336</v>
      </c>
      <c r="I40" s="207"/>
      <c r="J40" s="207"/>
      <c r="K40" s="206">
        <f t="shared" si="2"/>
        <v>2032</v>
      </c>
      <c r="L40" s="207"/>
      <c r="M40" s="207"/>
      <c r="N40" s="207">
        <f>N39-L39</f>
        <v>1879924.2809130482</v>
      </c>
      <c r="O40" s="207">
        <f t="shared" si="3"/>
        <v>117068.20564750068</v>
      </c>
    </row>
    <row r="41" spans="1:15" x14ac:dyDescent="0.3">
      <c r="A41" s="8">
        <f t="shared" ref="A41" si="61">A40</f>
        <v>17</v>
      </c>
      <c r="B41" s="226">
        <f t="shared" si="1"/>
        <v>48228</v>
      </c>
      <c r="C41" s="227"/>
      <c r="D41" s="207">
        <f t="shared" ref="D41" si="62">IF(A41&lt;=$J$2,L41,"")</f>
        <v>51270.855815543997</v>
      </c>
      <c r="E41" s="207"/>
      <c r="F41" s="207">
        <f>IF(A41&lt;=$J$2,$J$4*(180/360)*(SUM(D41:$D$88)),"")</f>
        <v>32898.674915978336</v>
      </c>
      <c r="G41" s="207"/>
      <c r="H41" s="207">
        <f t="shared" si="0"/>
        <v>84169.530731522333</v>
      </c>
      <c r="I41" s="207"/>
      <c r="J41" s="207">
        <f t="shared" ref="J41" si="63">IF(A41&lt;=$J$2,H40+H41,"")</f>
        <v>117068.20564750067</v>
      </c>
      <c r="K41" s="206">
        <f t="shared" si="2"/>
        <v>2032</v>
      </c>
      <c r="L41" s="207">
        <f>O41-M41</f>
        <v>51270.855815543997</v>
      </c>
      <c r="M41" s="207">
        <f>N41*$J$4</f>
        <v>65797.349831956686</v>
      </c>
      <c r="N41" s="207">
        <f>N40</f>
        <v>1879924.2809130482</v>
      </c>
      <c r="O41" s="207">
        <f t="shared" si="3"/>
        <v>117068.20564750068</v>
      </c>
    </row>
    <row r="42" spans="1:15" x14ac:dyDescent="0.3">
      <c r="A42" s="8">
        <f t="shared" ref="A42" si="64">A41+1</f>
        <v>18</v>
      </c>
      <c r="B42" s="197">
        <f t="shared" si="1"/>
        <v>48410</v>
      </c>
      <c r="C42" s="182"/>
      <c r="D42" s="208"/>
      <c r="E42" s="208"/>
      <c r="F42" s="208">
        <f>IF(A42&lt;=$J$2,$J$4*(180/360)*(SUM(D42:$D$88)),"")</f>
        <v>32001.434939206309</v>
      </c>
      <c r="G42" s="208"/>
      <c r="H42" s="208">
        <f t="shared" si="0"/>
        <v>32001.434939206309</v>
      </c>
      <c r="I42" s="208"/>
      <c r="J42" s="209"/>
      <c r="K42" s="186">
        <f t="shared" si="2"/>
        <v>2033</v>
      </c>
      <c r="L42" s="208"/>
      <c r="M42" s="208"/>
      <c r="N42" s="208">
        <f>N41-L41</f>
        <v>1828653.4250975042</v>
      </c>
      <c r="O42" s="208">
        <f t="shared" si="3"/>
        <v>117068.20564750068</v>
      </c>
    </row>
    <row r="43" spans="1:15" x14ac:dyDescent="0.3">
      <c r="A43" s="8">
        <f t="shared" ref="A43" si="65">A42</f>
        <v>18</v>
      </c>
      <c r="B43" s="197">
        <f t="shared" si="1"/>
        <v>48594</v>
      </c>
      <c r="C43" s="182"/>
      <c r="D43" s="208">
        <f t="shared" ref="D43" si="66">IF(A43&lt;=$J$2,L43,"")</f>
        <v>53065.335769088029</v>
      </c>
      <c r="E43" s="208"/>
      <c r="F43" s="208">
        <f>IF(A43&lt;=$J$2,$J$4*(180/360)*(SUM(D43:$D$88)),"")</f>
        <v>32001.434939206309</v>
      </c>
      <c r="G43" s="208"/>
      <c r="H43" s="208">
        <f t="shared" si="0"/>
        <v>85066.770708294338</v>
      </c>
      <c r="I43" s="208"/>
      <c r="J43" s="208">
        <f t="shared" ref="J43" si="67">IF(A43&lt;=$J$2,H42+H43,"")</f>
        <v>117068.20564750064</v>
      </c>
      <c r="K43" s="210">
        <f t="shared" si="2"/>
        <v>2033</v>
      </c>
      <c r="L43" s="208">
        <f>O43-M43</f>
        <v>53065.335769088029</v>
      </c>
      <c r="M43" s="208">
        <f>N43*$J$4</f>
        <v>64002.869878412654</v>
      </c>
      <c r="N43" s="208">
        <f>N42</f>
        <v>1828653.4250975042</v>
      </c>
      <c r="O43" s="208">
        <f t="shared" si="3"/>
        <v>117068.20564750068</v>
      </c>
    </row>
    <row r="44" spans="1:15" x14ac:dyDescent="0.3">
      <c r="A44" s="8">
        <f t="shared" ref="A44" si="68">A43+1</f>
        <v>19</v>
      </c>
      <c r="B44" s="226">
        <f t="shared" si="1"/>
        <v>48775</v>
      </c>
      <c r="C44" s="227"/>
      <c r="D44" s="207"/>
      <c r="E44" s="207"/>
      <c r="F44" s="207">
        <f>IF(A44&lt;=$J$2,$J$4*(180/360)*(SUM(D44:$D$88)),"")</f>
        <v>31072.791563247269</v>
      </c>
      <c r="G44" s="207"/>
      <c r="H44" s="207">
        <f t="shared" si="0"/>
        <v>31072.791563247269</v>
      </c>
      <c r="I44" s="207"/>
      <c r="J44" s="207"/>
      <c r="K44" s="206">
        <f t="shared" si="2"/>
        <v>2034</v>
      </c>
      <c r="L44" s="207"/>
      <c r="M44" s="207"/>
      <c r="N44" s="207">
        <f>N43-L43</f>
        <v>1775588.0893284162</v>
      </c>
      <c r="O44" s="207">
        <f t="shared" si="3"/>
        <v>117068.20564750068</v>
      </c>
    </row>
    <row r="45" spans="1:15" x14ac:dyDescent="0.3">
      <c r="A45" s="8">
        <f t="shared" ref="A45" si="69">A44</f>
        <v>19</v>
      </c>
      <c r="B45" s="226">
        <f t="shared" si="1"/>
        <v>48959</v>
      </c>
      <c r="C45" s="227"/>
      <c r="D45" s="207">
        <f t="shared" ref="D45" si="70">IF(A45&lt;=$J$2,L45,"")</f>
        <v>54922.622521006109</v>
      </c>
      <c r="E45" s="207"/>
      <c r="F45" s="207">
        <f>IF(A45&lt;=$J$2,$J$4*(180/360)*(SUM(D45:$D$88)),"")</f>
        <v>31072.791563247269</v>
      </c>
      <c r="G45" s="207"/>
      <c r="H45" s="207">
        <f t="shared" si="0"/>
        <v>85995.414084253382</v>
      </c>
      <c r="I45" s="207"/>
      <c r="J45" s="207">
        <f t="shared" ref="J45" si="71">IF(A45&lt;=$J$2,H44+H45,"")</f>
        <v>117068.20564750065</v>
      </c>
      <c r="K45" s="206">
        <f t="shared" si="2"/>
        <v>2034</v>
      </c>
      <c r="L45" s="207">
        <f>O45-M45</f>
        <v>54922.622521006109</v>
      </c>
      <c r="M45" s="207">
        <f>N45*$J$4</f>
        <v>62145.583126494574</v>
      </c>
      <c r="N45" s="207">
        <f>N44</f>
        <v>1775588.0893284162</v>
      </c>
      <c r="O45" s="207">
        <f t="shared" si="3"/>
        <v>117068.20564750068</v>
      </c>
    </row>
    <row r="46" spans="1:15" x14ac:dyDescent="0.3">
      <c r="A46" s="8">
        <f t="shared" ref="A46" si="72">A45+1</f>
        <v>20</v>
      </c>
      <c r="B46" s="197">
        <f t="shared" si="1"/>
        <v>49140</v>
      </c>
      <c r="C46" s="182"/>
      <c r="D46" s="208"/>
      <c r="E46" s="208"/>
      <c r="F46" s="208">
        <f>IF(A46&lt;=$J$2,$J$4*(180/360)*(SUM(D46:$D$88)),"")</f>
        <v>30111.645669129663</v>
      </c>
      <c r="G46" s="208"/>
      <c r="H46" s="208">
        <f t="shared" si="0"/>
        <v>30111.645669129663</v>
      </c>
      <c r="I46" s="208"/>
      <c r="J46" s="209"/>
      <c r="K46" s="186">
        <f t="shared" si="2"/>
        <v>2035</v>
      </c>
      <c r="L46" s="208"/>
      <c r="M46" s="208"/>
      <c r="N46" s="208">
        <f>N45-L45</f>
        <v>1720665.4668074101</v>
      </c>
      <c r="O46" s="208">
        <f t="shared" si="3"/>
        <v>117068.20564750068</v>
      </c>
    </row>
    <row r="47" spans="1:15" x14ac:dyDescent="0.3">
      <c r="A47" s="8">
        <f t="shared" ref="A47" si="73">A46</f>
        <v>20</v>
      </c>
      <c r="B47" s="197">
        <f t="shared" si="1"/>
        <v>49324</v>
      </c>
      <c r="C47" s="182"/>
      <c r="D47" s="208">
        <f t="shared" ref="D47" si="74">IF(A47&lt;=$J$2,L47,"")</f>
        <v>56844.914309241321</v>
      </c>
      <c r="E47" s="208"/>
      <c r="F47" s="208">
        <f>IF(A47&lt;=$J$2,$J$4*(180/360)*(SUM(D47:$D$88)),"")</f>
        <v>30111.645669129663</v>
      </c>
      <c r="G47" s="208"/>
      <c r="H47" s="208">
        <f t="shared" si="0"/>
        <v>86956.559978370991</v>
      </c>
      <c r="I47" s="208"/>
      <c r="J47" s="208">
        <f t="shared" ref="J47" si="75">IF(A47&lt;=$J$2,H46+H47,"")</f>
        <v>117068.20564750065</v>
      </c>
      <c r="K47" s="210">
        <f t="shared" si="2"/>
        <v>2035</v>
      </c>
      <c r="L47" s="208">
        <f>O47-M47</f>
        <v>56844.914309241321</v>
      </c>
      <c r="M47" s="208">
        <f>N47*$J$4</f>
        <v>60223.291338259362</v>
      </c>
      <c r="N47" s="208">
        <f>N46</f>
        <v>1720665.4668074101</v>
      </c>
      <c r="O47" s="208">
        <f t="shared" si="3"/>
        <v>117068.20564750068</v>
      </c>
    </row>
    <row r="48" spans="1:15" x14ac:dyDescent="0.3">
      <c r="A48" s="8">
        <f t="shared" ref="A48" si="76">A47+1</f>
        <v>21</v>
      </c>
      <c r="B48" s="226">
        <f t="shared" si="1"/>
        <v>49505</v>
      </c>
      <c r="C48" s="227"/>
      <c r="D48" s="207"/>
      <c r="E48" s="207"/>
      <c r="F48" s="207">
        <f>IF(A48&lt;=$J$2,$J$4*(180/360)*(SUM(D48:$D$88)),"")</f>
        <v>29116.859668717942</v>
      </c>
      <c r="G48" s="207"/>
      <c r="H48" s="207">
        <f t="shared" si="0"/>
        <v>29116.859668717942</v>
      </c>
      <c r="I48" s="207"/>
      <c r="J48" s="207"/>
      <c r="K48" s="206">
        <f t="shared" si="2"/>
        <v>2036</v>
      </c>
      <c r="L48" s="207"/>
      <c r="M48" s="207"/>
      <c r="N48" s="207">
        <f>N47-L47</f>
        <v>1663820.5524981688</v>
      </c>
      <c r="O48" s="207">
        <f t="shared" si="3"/>
        <v>117068.20564750068</v>
      </c>
    </row>
    <row r="49" spans="1:15" x14ac:dyDescent="0.3">
      <c r="A49" s="8">
        <f t="shared" ref="A49" si="77">A48</f>
        <v>21</v>
      </c>
      <c r="B49" s="226">
        <f t="shared" si="1"/>
        <v>49689</v>
      </c>
      <c r="C49" s="227"/>
      <c r="D49" s="207">
        <f t="shared" ref="D49" si="78">IF(A49&lt;=$J$2,L49,"")</f>
        <v>58834.486310064771</v>
      </c>
      <c r="E49" s="207"/>
      <c r="F49" s="207">
        <f>IF(A49&lt;=$J$2,$J$4*(180/360)*(SUM(D49:$D$88)),"")</f>
        <v>29116.859668717942</v>
      </c>
      <c r="G49" s="207"/>
      <c r="H49" s="207">
        <f t="shared" si="0"/>
        <v>87951.345978782716</v>
      </c>
      <c r="I49" s="207"/>
      <c r="J49" s="207">
        <f t="shared" ref="J49" si="79">IF(A49&lt;=$J$2,H48+H49,"")</f>
        <v>117068.20564750065</v>
      </c>
      <c r="K49" s="206">
        <f t="shared" si="2"/>
        <v>2036</v>
      </c>
      <c r="L49" s="207">
        <f>O49-M49</f>
        <v>58834.486310064771</v>
      </c>
      <c r="M49" s="207">
        <f>N49*$J$4</f>
        <v>58233.719337435912</v>
      </c>
      <c r="N49" s="207">
        <f>N48</f>
        <v>1663820.5524981688</v>
      </c>
      <c r="O49" s="207">
        <f>O48</f>
        <v>117068.20564750068</v>
      </c>
    </row>
    <row r="50" spans="1:15" x14ac:dyDescent="0.3">
      <c r="A50" s="8">
        <f t="shared" ref="A50" si="80">A49+1</f>
        <v>22</v>
      </c>
      <c r="B50" s="197">
        <f t="shared" si="1"/>
        <v>49871</v>
      </c>
      <c r="C50" s="182"/>
      <c r="D50" s="208"/>
      <c r="E50" s="208"/>
      <c r="F50" s="208">
        <f>IF(A50&lt;=$J$2,$J$4*(180/360)*(SUM(D50:$D$88)),"")</f>
        <v>28087.256158291806</v>
      </c>
      <c r="G50" s="208"/>
      <c r="H50" s="208">
        <f t="shared" si="0"/>
        <v>28087.256158291806</v>
      </c>
      <c r="I50" s="208"/>
      <c r="J50" s="209"/>
      <c r="K50" s="186">
        <f t="shared" si="2"/>
        <v>2037</v>
      </c>
      <c r="L50" s="208"/>
      <c r="M50" s="208"/>
      <c r="N50" s="208">
        <f>N49-L49</f>
        <v>1604986.066188104</v>
      </c>
      <c r="O50" s="208">
        <f t="shared" ref="O50:O87" si="81">O49</f>
        <v>117068.20564750068</v>
      </c>
    </row>
    <row r="51" spans="1:15" x14ac:dyDescent="0.3">
      <c r="A51" s="8">
        <f t="shared" ref="A51" si="82">A50</f>
        <v>22</v>
      </c>
      <c r="B51" s="197">
        <f t="shared" si="1"/>
        <v>50055</v>
      </c>
      <c r="C51" s="182"/>
      <c r="D51" s="208">
        <f t="shared" ref="D51" si="83">IF(A51&lt;=$J$2,L51,"")</f>
        <v>60893.693330917042</v>
      </c>
      <c r="E51" s="208"/>
      <c r="F51" s="208">
        <f>IF(A51&lt;=$J$2,$J$4*(180/360)*(SUM(D51:$D$88)),"")</f>
        <v>28087.256158291806</v>
      </c>
      <c r="G51" s="208"/>
      <c r="H51" s="208">
        <f t="shared" si="0"/>
        <v>88980.949489208841</v>
      </c>
      <c r="I51" s="208"/>
      <c r="J51" s="208">
        <f t="shared" ref="J51" si="84">IF(A51&lt;=$J$2,H50+H51,"")</f>
        <v>117068.20564750064</v>
      </c>
      <c r="K51" s="210">
        <f t="shared" si="2"/>
        <v>2037</v>
      </c>
      <c r="L51" s="208">
        <f>O51-M51</f>
        <v>60893.693330917042</v>
      </c>
      <c r="M51" s="208">
        <f>N51*$J$4</f>
        <v>56174.512316583641</v>
      </c>
      <c r="N51" s="208">
        <f>N50</f>
        <v>1604986.066188104</v>
      </c>
      <c r="O51" s="208">
        <f t="shared" si="81"/>
        <v>117068.20564750068</v>
      </c>
    </row>
    <row r="52" spans="1:15" x14ac:dyDescent="0.3">
      <c r="A52" s="8">
        <f t="shared" ref="A52" si="85">A51+1</f>
        <v>23</v>
      </c>
      <c r="B52" s="226">
        <f t="shared" si="1"/>
        <v>50236</v>
      </c>
      <c r="C52" s="227"/>
      <c r="D52" s="207"/>
      <c r="E52" s="207"/>
      <c r="F52" s="207">
        <f>IF(A52&lt;=$J$2,$J$4*(180/360)*(SUM(D52:$D$88)),"")</f>
        <v>27021.616525000765</v>
      </c>
      <c r="G52" s="207"/>
      <c r="H52" s="207">
        <f t="shared" si="0"/>
        <v>27021.616525000765</v>
      </c>
      <c r="I52" s="207"/>
      <c r="J52" s="207"/>
      <c r="K52" s="206">
        <f t="shared" si="2"/>
        <v>2038</v>
      </c>
      <c r="L52" s="207"/>
      <c r="M52" s="207"/>
      <c r="N52" s="207">
        <f>N51-L51</f>
        <v>1544092.3728571869</v>
      </c>
      <c r="O52" s="207">
        <f t="shared" si="81"/>
        <v>117068.20564750068</v>
      </c>
    </row>
    <row r="53" spans="1:15" x14ac:dyDescent="0.3">
      <c r="A53" s="8">
        <f t="shared" ref="A53" si="86">A52</f>
        <v>23</v>
      </c>
      <c r="B53" s="226">
        <f t="shared" si="1"/>
        <v>50420</v>
      </c>
      <c r="C53" s="227"/>
      <c r="D53" s="207">
        <f t="shared" ref="D53" si="87">IF(A53&lt;=$J$2,L53,"")</f>
        <v>63024.972597499138</v>
      </c>
      <c r="E53" s="207"/>
      <c r="F53" s="207">
        <f>IF(A53&lt;=$J$2,$J$4*(180/360)*(SUM(D53:$D$88)),"")</f>
        <v>27021.616525000765</v>
      </c>
      <c r="G53" s="207"/>
      <c r="H53" s="207">
        <f t="shared" si="0"/>
        <v>90046.589122499907</v>
      </c>
      <c r="I53" s="207"/>
      <c r="J53" s="207">
        <f t="shared" ref="J53" si="88">IF(A53&lt;=$J$2,H52+H53,"")</f>
        <v>117068.20564750067</v>
      </c>
      <c r="K53" s="206">
        <f t="shared" si="2"/>
        <v>2038</v>
      </c>
      <c r="L53" s="207">
        <f>O53-M53</f>
        <v>63024.972597499138</v>
      </c>
      <c r="M53" s="207">
        <f>N53*$J$4</f>
        <v>54043.233050001545</v>
      </c>
      <c r="N53" s="207">
        <f>N52</f>
        <v>1544092.3728571869</v>
      </c>
      <c r="O53" s="207">
        <f t="shared" si="81"/>
        <v>117068.20564750068</v>
      </c>
    </row>
    <row r="54" spans="1:15" x14ac:dyDescent="0.3">
      <c r="A54" s="8">
        <f t="shared" ref="A54" si="89">A53+1</f>
        <v>24</v>
      </c>
      <c r="B54" s="197">
        <f t="shared" si="1"/>
        <v>50601</v>
      </c>
      <c r="C54" s="182"/>
      <c r="D54" s="208"/>
      <c r="E54" s="208"/>
      <c r="F54" s="208">
        <f>IF(A54&lt;=$J$2,$J$4*(180/360)*(SUM(D54:$D$88)),"")</f>
        <v>25918.679504544525</v>
      </c>
      <c r="G54" s="208"/>
      <c r="H54" s="208">
        <f t="shared" si="0"/>
        <v>25918.679504544525</v>
      </c>
      <c r="I54" s="208"/>
      <c r="J54" s="209"/>
      <c r="K54" s="186">
        <f t="shared" si="2"/>
        <v>2039</v>
      </c>
      <c r="L54" s="208"/>
      <c r="M54" s="208"/>
      <c r="N54" s="208">
        <f>N53-L53</f>
        <v>1481067.4002596878</v>
      </c>
      <c r="O54" s="208">
        <f t="shared" si="81"/>
        <v>117068.20564750068</v>
      </c>
    </row>
    <row r="55" spans="1:15" x14ac:dyDescent="0.3">
      <c r="A55" s="8">
        <f t="shared" ref="A55" si="90">A54</f>
        <v>24</v>
      </c>
      <c r="B55" s="197">
        <f t="shared" si="1"/>
        <v>50785</v>
      </c>
      <c r="C55" s="182"/>
      <c r="D55" s="208">
        <f t="shared" ref="D55" si="91">IF(A55&lt;=$J$2,L55,"")</f>
        <v>65230.846638411604</v>
      </c>
      <c r="E55" s="208"/>
      <c r="F55" s="208">
        <f>IF(A55&lt;=$J$2,$J$4*(180/360)*(SUM(D55:$D$88)),"")</f>
        <v>25918.679504544525</v>
      </c>
      <c r="G55" s="208"/>
      <c r="H55" s="208">
        <f t="shared" si="0"/>
        <v>91149.526142956136</v>
      </c>
      <c r="I55" s="208"/>
      <c r="J55" s="208">
        <f t="shared" ref="J55" si="92">IF(A55&lt;=$J$2,H54+H55,"")</f>
        <v>117068.20564750067</v>
      </c>
      <c r="K55" s="210">
        <f t="shared" si="2"/>
        <v>2039</v>
      </c>
      <c r="L55" s="208">
        <f>O55-M55</f>
        <v>65230.846638411604</v>
      </c>
      <c r="M55" s="208">
        <f>N55*$J$4</f>
        <v>51837.359009089079</v>
      </c>
      <c r="N55" s="208">
        <f>N54</f>
        <v>1481067.4002596878</v>
      </c>
      <c r="O55" s="208">
        <f t="shared" si="81"/>
        <v>117068.20564750068</v>
      </c>
    </row>
    <row r="56" spans="1:15" x14ac:dyDescent="0.3">
      <c r="A56" s="8">
        <f t="shared" ref="A56" si="93">A55+1</f>
        <v>25</v>
      </c>
      <c r="B56" s="226">
        <f t="shared" si="1"/>
        <v>50966</v>
      </c>
      <c r="C56" s="227"/>
      <c r="D56" s="207"/>
      <c r="E56" s="207"/>
      <c r="F56" s="207">
        <f>IF(A56&lt;=$J$2,$J$4*(180/360)*(SUM(D56:$D$88)),"")</f>
        <v>24777.139688372325</v>
      </c>
      <c r="G56" s="207"/>
      <c r="H56" s="207">
        <f t="shared" si="0"/>
        <v>24777.139688372325</v>
      </c>
      <c r="I56" s="207"/>
      <c r="J56" s="207"/>
      <c r="K56" s="206">
        <f t="shared" si="2"/>
        <v>2040</v>
      </c>
      <c r="L56" s="207"/>
      <c r="M56" s="207"/>
      <c r="N56" s="207">
        <f>N55-L55</f>
        <v>1415836.5536212763</v>
      </c>
      <c r="O56" s="207">
        <f t="shared" si="81"/>
        <v>117068.20564750068</v>
      </c>
    </row>
    <row r="57" spans="1:15" x14ac:dyDescent="0.3">
      <c r="A57" s="8">
        <f t="shared" ref="A57" si="94">A56</f>
        <v>25</v>
      </c>
      <c r="B57" s="226">
        <f t="shared" si="1"/>
        <v>51150</v>
      </c>
      <c r="C57" s="227"/>
      <c r="D57" s="207">
        <f t="shared" ref="D57" si="95">IF(A57&lt;=$J$2,L57,"")</f>
        <v>67513.926270756012</v>
      </c>
      <c r="E57" s="207"/>
      <c r="F57" s="207">
        <f>IF(A57&lt;=$J$2,$J$4*(180/360)*(SUM(D57:$D$88)),"")</f>
        <v>24777.139688372325</v>
      </c>
      <c r="G57" s="207"/>
      <c r="H57" s="207">
        <f t="shared" si="0"/>
        <v>92291.065959128333</v>
      </c>
      <c r="I57" s="207"/>
      <c r="J57" s="207">
        <f t="shared" ref="J57" si="96">IF(A57&lt;=$J$2,H56+H57,"")</f>
        <v>117068.20564750065</v>
      </c>
      <c r="K57" s="206">
        <f t="shared" si="2"/>
        <v>2040</v>
      </c>
      <c r="L57" s="207">
        <f>O57-M57</f>
        <v>67513.926270756012</v>
      </c>
      <c r="M57" s="207">
        <f>N57*$J$4</f>
        <v>49554.279376744671</v>
      </c>
      <c r="N57" s="207">
        <f>N56</f>
        <v>1415836.5536212763</v>
      </c>
      <c r="O57" s="207">
        <f t="shared" si="81"/>
        <v>117068.20564750068</v>
      </c>
    </row>
    <row r="58" spans="1:15" x14ac:dyDescent="0.3">
      <c r="A58" s="8">
        <f t="shared" ref="A58" si="97">A57+1</f>
        <v>26</v>
      </c>
      <c r="B58" s="197">
        <f t="shared" si="1"/>
        <v>51332</v>
      </c>
      <c r="C58" s="182"/>
      <c r="D58" s="208"/>
      <c r="E58" s="208"/>
      <c r="F58" s="208">
        <f>IF(A58&lt;=$J$2,$J$4*(180/360)*(SUM(D58:$D$88)),"")</f>
        <v>23595.645978634097</v>
      </c>
      <c r="G58" s="208"/>
      <c r="H58" s="208">
        <f t="shared" si="0"/>
        <v>23595.645978634097</v>
      </c>
      <c r="I58" s="208"/>
      <c r="J58" s="209"/>
      <c r="K58" s="186">
        <f t="shared" si="2"/>
        <v>2041</v>
      </c>
      <c r="L58" s="208"/>
      <c r="M58" s="208"/>
      <c r="N58" s="208">
        <f>N57-L57</f>
        <v>1348322.6273505203</v>
      </c>
      <c r="O58" s="208">
        <f t="shared" si="81"/>
        <v>117068.20564750068</v>
      </c>
    </row>
    <row r="59" spans="1:15" x14ac:dyDescent="0.3">
      <c r="A59" s="8">
        <f t="shared" ref="A59" si="98">A58</f>
        <v>26</v>
      </c>
      <c r="B59" s="197">
        <f t="shared" si="1"/>
        <v>51516</v>
      </c>
      <c r="C59" s="182"/>
      <c r="D59" s="208">
        <f t="shared" ref="D59" si="99">IF(A59&lt;=$J$2,L59,"")</f>
        <v>69876.913690232468</v>
      </c>
      <c r="E59" s="208"/>
      <c r="F59" s="208">
        <f>IF(A59&lt;=$J$2,$J$4*(180/360)*(SUM(D59:$D$88)),"")</f>
        <v>23595.645978634097</v>
      </c>
      <c r="G59" s="208"/>
      <c r="H59" s="208">
        <f t="shared" si="0"/>
        <v>93472.559668866568</v>
      </c>
      <c r="I59" s="208"/>
      <c r="J59" s="208">
        <f t="shared" ref="J59" si="100">IF(A59&lt;=$J$2,H58+H59,"")</f>
        <v>117068.20564750067</v>
      </c>
      <c r="K59" s="210">
        <f t="shared" si="2"/>
        <v>2041</v>
      </c>
      <c r="L59" s="208">
        <f>O59-M59</f>
        <v>69876.913690232468</v>
      </c>
      <c r="M59" s="208">
        <f>N59*$J$4</f>
        <v>47191.291957268215</v>
      </c>
      <c r="N59" s="208">
        <f>N58</f>
        <v>1348322.6273505203</v>
      </c>
      <c r="O59" s="208">
        <f t="shared" si="81"/>
        <v>117068.20564750068</v>
      </c>
    </row>
    <row r="60" spans="1:15" x14ac:dyDescent="0.3">
      <c r="A60" s="8">
        <f t="shared" ref="A60" si="101">A59+1</f>
        <v>27</v>
      </c>
      <c r="B60" s="226">
        <f t="shared" si="1"/>
        <v>51697</v>
      </c>
      <c r="C60" s="227"/>
      <c r="D60" s="207"/>
      <c r="E60" s="207"/>
      <c r="F60" s="207">
        <f>IF(A60&lt;=$J$2,$J$4*(180/360)*(SUM(D60:$D$88)),"")</f>
        <v>22372.799989055024</v>
      </c>
      <c r="G60" s="207"/>
      <c r="H60" s="207">
        <f t="shared" si="0"/>
        <v>22372.799989055024</v>
      </c>
      <c r="I60" s="207"/>
      <c r="J60" s="207"/>
      <c r="K60" s="206">
        <f t="shared" si="2"/>
        <v>2042</v>
      </c>
      <c r="L60" s="207"/>
      <c r="M60" s="207"/>
      <c r="N60" s="207">
        <f>N59-L59</f>
        <v>1278445.7136602879</v>
      </c>
      <c r="O60" s="207">
        <f t="shared" si="81"/>
        <v>117068.20564750068</v>
      </c>
    </row>
    <row r="61" spans="1:15" x14ac:dyDescent="0.3">
      <c r="A61" s="8">
        <f t="shared" ref="A61" si="102">A60</f>
        <v>27</v>
      </c>
      <c r="B61" s="226">
        <f t="shared" si="1"/>
        <v>51881</v>
      </c>
      <c r="C61" s="227"/>
      <c r="D61" s="207">
        <f t="shared" ref="D61" si="103">IF(A61&lt;=$J$2,L61,"")</f>
        <v>72322.605669390599</v>
      </c>
      <c r="E61" s="207"/>
      <c r="F61" s="207">
        <f>IF(A61&lt;=$J$2,$J$4*(180/360)*(SUM(D61:$D$88)),"")</f>
        <v>22372.799989055024</v>
      </c>
      <c r="G61" s="207"/>
      <c r="H61" s="207">
        <f t="shared" si="0"/>
        <v>94695.405658445627</v>
      </c>
      <c r="I61" s="207"/>
      <c r="J61" s="207">
        <f t="shared" ref="J61" si="104">IF(A61&lt;=$J$2,H60+H61,"")</f>
        <v>117068.20564750065</v>
      </c>
      <c r="K61" s="206">
        <f t="shared" si="2"/>
        <v>2042</v>
      </c>
      <c r="L61" s="207">
        <f>O61-M61</f>
        <v>72322.605669390599</v>
      </c>
      <c r="M61" s="207">
        <f>N61*$J$4</f>
        <v>44745.599978110084</v>
      </c>
      <c r="N61" s="207">
        <f>N60</f>
        <v>1278445.7136602879</v>
      </c>
      <c r="O61" s="207">
        <f t="shared" si="81"/>
        <v>117068.20564750068</v>
      </c>
    </row>
    <row r="62" spans="1:15" x14ac:dyDescent="0.3">
      <c r="A62" s="8">
        <f t="shared" ref="A62" si="105">A61+1</f>
        <v>28</v>
      </c>
      <c r="B62" s="197">
        <f t="shared" si="1"/>
        <v>52062</v>
      </c>
      <c r="C62" s="182"/>
      <c r="D62" s="208"/>
      <c r="E62" s="208"/>
      <c r="F62" s="208">
        <f>IF(A62&lt;=$J$2,$J$4*(180/360)*(SUM(D62:$D$88)),"")</f>
        <v>21107.154389840693</v>
      </c>
      <c r="G62" s="208"/>
      <c r="H62" s="208">
        <f t="shared" si="0"/>
        <v>21107.154389840693</v>
      </c>
      <c r="I62" s="208"/>
      <c r="J62" s="209"/>
      <c r="K62" s="186">
        <f t="shared" si="2"/>
        <v>2043</v>
      </c>
      <c r="L62" s="208"/>
      <c r="M62" s="208"/>
      <c r="N62" s="208">
        <f>N61-L61</f>
        <v>1206123.1079908973</v>
      </c>
      <c r="O62" s="208">
        <f t="shared" si="81"/>
        <v>117068.20564750068</v>
      </c>
    </row>
    <row r="63" spans="1:15" x14ac:dyDescent="0.3">
      <c r="A63" s="8">
        <f t="shared" ref="A63" si="106">A62</f>
        <v>28</v>
      </c>
      <c r="B63" s="197">
        <f t="shared" si="1"/>
        <v>52246</v>
      </c>
      <c r="C63" s="182"/>
      <c r="D63" s="208">
        <f t="shared" ref="D63" si="107">IF(A63&lt;=$J$2,L63,"")</f>
        <v>74853.896867819276</v>
      </c>
      <c r="E63" s="208"/>
      <c r="F63" s="208">
        <f>IF(A63&lt;=$J$2,$J$4*(180/360)*(SUM(D63:$D$88)),"")</f>
        <v>21107.154389840693</v>
      </c>
      <c r="G63" s="208"/>
      <c r="H63" s="208">
        <f t="shared" si="0"/>
        <v>95961.051257659972</v>
      </c>
      <c r="I63" s="208"/>
      <c r="J63" s="208">
        <f t="shared" ref="J63" si="108">IF(A63&lt;=$J$2,H62+H63,"")</f>
        <v>117068.20564750067</v>
      </c>
      <c r="K63" s="210">
        <f t="shared" si="2"/>
        <v>2043</v>
      </c>
      <c r="L63" s="208">
        <f>O63-M63</f>
        <v>74853.896867819276</v>
      </c>
      <c r="M63" s="208">
        <f>N63*$J$4</f>
        <v>42214.308779681407</v>
      </c>
      <c r="N63" s="208">
        <f>N62</f>
        <v>1206123.1079908973</v>
      </c>
      <c r="O63" s="208">
        <f t="shared" si="81"/>
        <v>117068.20564750068</v>
      </c>
    </row>
    <row r="64" spans="1:15" x14ac:dyDescent="0.3">
      <c r="A64" s="8">
        <f t="shared" ref="A64" si="109">A63+1</f>
        <v>29</v>
      </c>
      <c r="B64" s="226">
        <f t="shared" si="1"/>
        <v>52427</v>
      </c>
      <c r="C64" s="227"/>
      <c r="D64" s="207"/>
      <c r="E64" s="207"/>
      <c r="F64" s="207">
        <f>IF(A64&lt;=$J$2,$J$4*(180/360)*(SUM(D64:$D$88)),"")</f>
        <v>19797.211194653853</v>
      </c>
      <c r="G64" s="207"/>
      <c r="H64" s="207">
        <f t="shared" si="0"/>
        <v>19797.211194653853</v>
      </c>
      <c r="I64" s="207"/>
      <c r="J64" s="207"/>
      <c r="K64" s="206">
        <f t="shared" si="2"/>
        <v>2044</v>
      </c>
      <c r="L64" s="207"/>
      <c r="M64" s="207"/>
      <c r="N64" s="207">
        <f>N63-L63</f>
        <v>1131269.2111230779</v>
      </c>
      <c r="O64" s="207">
        <f t="shared" si="81"/>
        <v>117068.20564750068</v>
      </c>
    </row>
    <row r="65" spans="1:15" x14ac:dyDescent="0.3">
      <c r="A65" s="8">
        <f t="shared" ref="A65" si="110">A64</f>
        <v>29</v>
      </c>
      <c r="B65" s="226">
        <f t="shared" si="1"/>
        <v>52611</v>
      </c>
      <c r="C65" s="227"/>
      <c r="D65" s="207">
        <f t="shared" ref="D65" si="111">IF(A65&lt;=$J$2,L65,"")</f>
        <v>77473.783258192954</v>
      </c>
      <c r="E65" s="207"/>
      <c r="F65" s="207">
        <f>IF(A65&lt;=$J$2,$J$4*(180/360)*(SUM(D65:$D$88)),"")</f>
        <v>19797.211194653853</v>
      </c>
      <c r="G65" s="207"/>
      <c r="H65" s="207">
        <f t="shared" si="0"/>
        <v>97270.994452846804</v>
      </c>
      <c r="I65" s="207"/>
      <c r="J65" s="207">
        <f t="shared" ref="J65" si="112">IF(A65&lt;=$J$2,H64+H65,"")</f>
        <v>117068.20564750065</v>
      </c>
      <c r="K65" s="206">
        <f t="shared" si="2"/>
        <v>2044</v>
      </c>
      <c r="L65" s="207">
        <f>O65-M65</f>
        <v>77473.783258192954</v>
      </c>
      <c r="M65" s="207">
        <f>N65*$J$4</f>
        <v>39594.422389307729</v>
      </c>
      <c r="N65" s="207">
        <f>N64</f>
        <v>1131269.2111230779</v>
      </c>
      <c r="O65" s="207">
        <f t="shared" si="81"/>
        <v>117068.20564750068</v>
      </c>
    </row>
    <row r="66" spans="1:15" x14ac:dyDescent="0.3">
      <c r="A66" s="8">
        <f t="shared" ref="A66" si="113">A65+1</f>
        <v>30</v>
      </c>
      <c r="B66" s="197">
        <f t="shared" si="1"/>
        <v>52793</v>
      </c>
      <c r="C66" s="182"/>
      <c r="D66" s="208"/>
      <c r="E66" s="208"/>
      <c r="F66" s="208">
        <f>IF(A66&lt;=$J$2,$J$4*(180/360)*(SUM(D66:$D$88)),"")</f>
        <v>18441.419987635476</v>
      </c>
      <c r="G66" s="208"/>
      <c r="H66" s="208">
        <f t="shared" si="0"/>
        <v>18441.419987635476</v>
      </c>
      <c r="I66" s="208"/>
      <c r="J66" s="209"/>
      <c r="K66" s="186">
        <f t="shared" si="2"/>
        <v>2045</v>
      </c>
      <c r="L66" s="208"/>
      <c r="M66" s="208"/>
      <c r="N66" s="208">
        <f>N65-L65</f>
        <v>1053795.427864885</v>
      </c>
      <c r="O66" s="208">
        <f t="shared" si="81"/>
        <v>117068.20564750068</v>
      </c>
    </row>
    <row r="67" spans="1:15" x14ac:dyDescent="0.3">
      <c r="A67" s="8">
        <f t="shared" ref="A67" si="114">A66</f>
        <v>30</v>
      </c>
      <c r="B67" s="197">
        <f t="shared" si="1"/>
        <v>52977</v>
      </c>
      <c r="C67" s="182"/>
      <c r="D67" s="208">
        <f t="shared" ref="D67" si="115">IF(A67&lt;=$J$2,L67,"")</f>
        <v>80185.365672229702</v>
      </c>
      <c r="E67" s="208"/>
      <c r="F67" s="208">
        <f>IF(A67&lt;=$J$2,$J$4*(180/360)*(SUM(D67:$D$88)),"")</f>
        <v>18441.419987635476</v>
      </c>
      <c r="G67" s="208"/>
      <c r="H67" s="208">
        <f t="shared" si="0"/>
        <v>98626.785659865185</v>
      </c>
      <c r="I67" s="208"/>
      <c r="J67" s="208">
        <f t="shared" ref="J67" si="116">IF(A67&lt;=$J$2,H66+H67,"")</f>
        <v>117068.20564750067</v>
      </c>
      <c r="K67" s="210">
        <f t="shared" si="2"/>
        <v>2045</v>
      </c>
      <c r="L67" s="208">
        <f>O67-M67</f>
        <v>80185.365672229702</v>
      </c>
      <c r="M67" s="208">
        <f>N67*$J$4</f>
        <v>36882.839975270974</v>
      </c>
      <c r="N67" s="208">
        <f>N66</f>
        <v>1053795.427864885</v>
      </c>
      <c r="O67" s="208">
        <f t="shared" si="81"/>
        <v>117068.20564750068</v>
      </c>
    </row>
    <row r="68" spans="1:15" x14ac:dyDescent="0.3">
      <c r="A68" s="8">
        <f t="shared" ref="A68" si="117">A67+1</f>
        <v>31</v>
      </c>
      <c r="B68" s="226">
        <f t="shared" si="1"/>
        <v>53158</v>
      </c>
      <c r="C68" s="227"/>
      <c r="D68" s="207"/>
      <c r="E68" s="207"/>
      <c r="F68" s="207">
        <f>IF(A68&lt;=$J$2,$J$4*(180/360)*(SUM(D68:$D$88)),"")</f>
        <v>17038.17608837146</v>
      </c>
      <c r="G68" s="207"/>
      <c r="H68" s="207">
        <f t="shared" si="0"/>
        <v>17038.17608837146</v>
      </c>
      <c r="I68" s="207"/>
      <c r="J68" s="207"/>
      <c r="K68" s="206">
        <f t="shared" si="2"/>
        <v>2046</v>
      </c>
      <c r="L68" s="207"/>
      <c r="M68" s="207"/>
      <c r="N68" s="207">
        <f>N67-L67</f>
        <v>973610.06219265528</v>
      </c>
      <c r="O68" s="207">
        <f t="shared" si="81"/>
        <v>117068.20564750068</v>
      </c>
    </row>
    <row r="69" spans="1:15" x14ac:dyDescent="0.3">
      <c r="A69" s="8">
        <f t="shared" ref="A69" si="118">A68</f>
        <v>31</v>
      </c>
      <c r="B69" s="226">
        <f t="shared" si="1"/>
        <v>53342</v>
      </c>
      <c r="C69" s="227"/>
      <c r="D69" s="207">
        <f t="shared" ref="D69" si="119">IF(A69&lt;=$J$2,L69,"")</f>
        <v>82991.853470757749</v>
      </c>
      <c r="E69" s="207"/>
      <c r="F69" s="207">
        <f>IF(A69&lt;=$J$2,$J$4*(180/360)*(SUM(D69:$D$88)),"")</f>
        <v>17038.17608837146</v>
      </c>
      <c r="G69" s="207"/>
      <c r="H69" s="207">
        <f t="shared" si="0"/>
        <v>100030.02955912921</v>
      </c>
      <c r="I69" s="207"/>
      <c r="J69" s="207">
        <f t="shared" ref="J69" si="120">IF(A69&lt;=$J$2,H68+H69,"")</f>
        <v>117068.20564750067</v>
      </c>
      <c r="K69" s="206">
        <f t="shared" si="2"/>
        <v>2046</v>
      </c>
      <c r="L69" s="207">
        <f>O69-M69</f>
        <v>82991.853470757749</v>
      </c>
      <c r="M69" s="207">
        <f>N69*$J$4</f>
        <v>34076.352176742941</v>
      </c>
      <c r="N69" s="207">
        <f>N68</f>
        <v>973610.06219265528</v>
      </c>
      <c r="O69" s="207">
        <f t="shared" si="81"/>
        <v>117068.20564750068</v>
      </c>
    </row>
    <row r="70" spans="1:15" x14ac:dyDescent="0.3">
      <c r="A70" s="8">
        <f t="shared" ref="A70" si="121">A69+1</f>
        <v>32</v>
      </c>
      <c r="B70" s="197">
        <f t="shared" si="1"/>
        <v>53523</v>
      </c>
      <c r="C70" s="182"/>
      <c r="D70" s="208"/>
      <c r="E70" s="208"/>
      <c r="F70" s="208">
        <f>IF(A70&lt;=$J$2,$J$4*(180/360)*(SUM(D70:$D$88)),"")</f>
        <v>15585.818652633197</v>
      </c>
      <c r="G70" s="208"/>
      <c r="H70" s="208">
        <f t="shared" si="0"/>
        <v>15585.818652633197</v>
      </c>
      <c r="I70" s="208"/>
      <c r="J70" s="209"/>
      <c r="K70" s="186">
        <f t="shared" si="2"/>
        <v>2047</v>
      </c>
      <c r="L70" s="208"/>
      <c r="M70" s="208"/>
      <c r="N70" s="208">
        <f>N69-L69</f>
        <v>890618.20872189756</v>
      </c>
      <c r="O70" s="208">
        <f t="shared" si="81"/>
        <v>117068.20564750068</v>
      </c>
    </row>
    <row r="71" spans="1:15" x14ac:dyDescent="0.3">
      <c r="A71" s="8">
        <f t="shared" ref="A71" si="122">A70</f>
        <v>32</v>
      </c>
      <c r="B71" s="197">
        <f t="shared" si="1"/>
        <v>53707</v>
      </c>
      <c r="C71" s="182"/>
      <c r="D71" s="208">
        <f t="shared" ref="D71" si="123">IF(A71&lt;=$J$2,L71,"")</f>
        <v>85896.56834223427</v>
      </c>
      <c r="E71" s="208"/>
      <c r="F71" s="208">
        <f>IF(A71&lt;=$J$2,$J$4*(180/360)*(SUM(D71:$D$88)),"")</f>
        <v>15585.818652633197</v>
      </c>
      <c r="G71" s="208"/>
      <c r="H71" s="208">
        <f t="shared" si="0"/>
        <v>101482.38699486747</v>
      </c>
      <c r="I71" s="208"/>
      <c r="J71" s="208">
        <f t="shared" ref="J71" si="124">IF(A71&lt;=$J$2,H70+H71,"")</f>
        <v>117068.20564750067</v>
      </c>
      <c r="K71" s="210">
        <f t="shared" si="2"/>
        <v>2047</v>
      </c>
      <c r="L71" s="208">
        <f>O71-M71</f>
        <v>85896.56834223427</v>
      </c>
      <c r="M71" s="208">
        <f>N71*$J$4</f>
        <v>31171.637305266417</v>
      </c>
      <c r="N71" s="208">
        <f>N70</f>
        <v>890618.20872189756</v>
      </c>
      <c r="O71" s="208">
        <f t="shared" si="81"/>
        <v>117068.20564750068</v>
      </c>
    </row>
    <row r="72" spans="1:15" x14ac:dyDescent="0.3">
      <c r="A72" s="8">
        <f t="shared" ref="A72" si="125">A71+1</f>
        <v>33</v>
      </c>
      <c r="B72" s="226">
        <f t="shared" si="1"/>
        <v>53888</v>
      </c>
      <c r="C72" s="227"/>
      <c r="D72" s="207"/>
      <c r="E72" s="207"/>
      <c r="F72" s="207">
        <f>IF(A72&lt;=$J$2,$J$4*(180/360)*(SUM(D72:$D$88)),"")</f>
        <v>14082.628706644096</v>
      </c>
      <c r="G72" s="207"/>
      <c r="H72" s="207">
        <f t="shared" si="0"/>
        <v>14082.628706644096</v>
      </c>
      <c r="I72" s="207"/>
      <c r="J72" s="207"/>
      <c r="K72" s="206">
        <f t="shared" si="2"/>
        <v>2048</v>
      </c>
      <c r="L72" s="207"/>
      <c r="M72" s="207"/>
      <c r="N72" s="207">
        <f>N71-L71</f>
        <v>804721.64037966332</v>
      </c>
      <c r="O72" s="207">
        <f t="shared" si="81"/>
        <v>117068.20564750068</v>
      </c>
    </row>
    <row r="73" spans="1:15" x14ac:dyDescent="0.3">
      <c r="A73" s="8">
        <f t="shared" ref="A73" si="126">A72</f>
        <v>33</v>
      </c>
      <c r="B73" s="226">
        <f t="shared" si="1"/>
        <v>54072</v>
      </c>
      <c r="C73" s="227"/>
      <c r="D73" s="207">
        <f t="shared" ref="D73" si="127">IF(A73&lt;=$J$2,L73,"")</f>
        <v>88902.948234212468</v>
      </c>
      <c r="E73" s="207"/>
      <c r="F73" s="207">
        <f>IF(A73&lt;=$J$2,$J$4*(180/360)*(SUM(D73:$D$88)),"")</f>
        <v>14082.628706644096</v>
      </c>
      <c r="G73" s="207"/>
      <c r="H73" s="207">
        <f t="shared" ref="H73:H87" si="128">IF(A73&lt;=$J$2,D73+F73,"")</f>
        <v>102985.57694085657</v>
      </c>
      <c r="I73" s="207"/>
      <c r="J73" s="207">
        <f t="shared" ref="J73" si="129">IF(A73&lt;=$J$2,H72+H73,"")</f>
        <v>117068.20564750067</v>
      </c>
      <c r="K73" s="206">
        <f t="shared" si="2"/>
        <v>2048</v>
      </c>
      <c r="L73" s="207">
        <f>O73-M73</f>
        <v>88902.948234212468</v>
      </c>
      <c r="M73" s="207">
        <f>N73*$J$4</f>
        <v>28165.257413288218</v>
      </c>
      <c r="N73" s="207">
        <f>N72</f>
        <v>804721.64037966332</v>
      </c>
      <c r="O73" s="207">
        <f t="shared" si="81"/>
        <v>117068.20564750068</v>
      </c>
    </row>
    <row r="74" spans="1:15" x14ac:dyDescent="0.3">
      <c r="A74" s="8">
        <f t="shared" ref="A74" si="130">A73+1</f>
        <v>34</v>
      </c>
      <c r="B74" s="197">
        <f t="shared" ref="B74:B87" si="131">IF($J$2&gt;=A74,IF(MONTH(B73)=1,DATE(YEAR(B73),7,15),DATE(YEAR(B73)+1,1,15)),"")</f>
        <v>54254</v>
      </c>
      <c r="C74" s="182"/>
      <c r="D74" s="208"/>
      <c r="E74" s="208"/>
      <c r="F74" s="208">
        <f>IF(A74&lt;=$J$2,$J$4*(180/360)*(SUM(D74:$D$88)),"")</f>
        <v>12526.827112545378</v>
      </c>
      <c r="G74" s="208"/>
      <c r="H74" s="208">
        <f t="shared" si="128"/>
        <v>12526.827112545378</v>
      </c>
      <c r="I74" s="208"/>
      <c r="J74" s="209"/>
      <c r="K74" s="186">
        <f t="shared" ref="K74:K87" si="132">IF(A74&lt;=$J$2,IF(MONTH(B74)&lt;7,YEAR(B74),YEAR(B74)+1),"")</f>
        <v>2049</v>
      </c>
      <c r="L74" s="208"/>
      <c r="M74" s="208"/>
      <c r="N74" s="208">
        <f>N73-L73</f>
        <v>715818.69214545086</v>
      </c>
      <c r="O74" s="208">
        <f t="shared" si="81"/>
        <v>117068.20564750068</v>
      </c>
    </row>
    <row r="75" spans="1:15" x14ac:dyDescent="0.3">
      <c r="A75" s="8">
        <f t="shared" ref="A75" si="133">A74</f>
        <v>34</v>
      </c>
      <c r="B75" s="197">
        <f t="shared" si="131"/>
        <v>54438</v>
      </c>
      <c r="C75" s="182"/>
      <c r="D75" s="208">
        <f t="shared" ref="D75" si="134">IF(A75&lt;=$J$2,L75,"")</f>
        <v>92014.551422409902</v>
      </c>
      <c r="E75" s="208"/>
      <c r="F75" s="208">
        <f>IF(A75&lt;=$J$2,$J$4*(180/360)*(SUM(D75:$D$88)),"")</f>
        <v>12526.827112545378</v>
      </c>
      <c r="G75" s="208"/>
      <c r="H75" s="208">
        <f t="shared" si="128"/>
        <v>104541.37853495528</v>
      </c>
      <c r="I75" s="208"/>
      <c r="J75" s="208">
        <f t="shared" ref="J75" si="135">IF(A75&lt;=$J$2,H74+H75,"")</f>
        <v>117068.20564750065</v>
      </c>
      <c r="K75" s="210">
        <f t="shared" si="132"/>
        <v>2049</v>
      </c>
      <c r="L75" s="208">
        <f>O75-M75</f>
        <v>92014.551422409902</v>
      </c>
      <c r="M75" s="208">
        <f>N75*$J$4</f>
        <v>25053.654225090781</v>
      </c>
      <c r="N75" s="208">
        <f>N74</f>
        <v>715818.69214545086</v>
      </c>
      <c r="O75" s="208">
        <f t="shared" si="81"/>
        <v>117068.20564750068</v>
      </c>
    </row>
    <row r="76" spans="1:15" x14ac:dyDescent="0.3">
      <c r="A76" s="8">
        <f t="shared" ref="A76" si="136">A75+1</f>
        <v>35</v>
      </c>
      <c r="B76" s="226">
        <f t="shared" si="131"/>
        <v>54619</v>
      </c>
      <c r="C76" s="227"/>
      <c r="D76" s="207"/>
      <c r="E76" s="207"/>
      <c r="F76" s="207">
        <f>IF(A76&lt;=$J$2,$J$4*(180/360)*(SUM(D76:$D$88)),"")</f>
        <v>10916.572462653203</v>
      </c>
      <c r="G76" s="207"/>
      <c r="H76" s="207">
        <f t="shared" si="128"/>
        <v>10916.572462653203</v>
      </c>
      <c r="I76" s="207"/>
      <c r="J76" s="207"/>
      <c r="K76" s="206">
        <f t="shared" si="132"/>
        <v>2050</v>
      </c>
      <c r="L76" s="207"/>
      <c r="M76" s="207"/>
      <c r="N76" s="207">
        <f>N75-L75</f>
        <v>623804.14072304091</v>
      </c>
      <c r="O76" s="207">
        <f t="shared" si="81"/>
        <v>117068.20564750068</v>
      </c>
    </row>
    <row r="77" spans="1:15" x14ac:dyDescent="0.3">
      <c r="A77" s="8">
        <f t="shared" ref="A77" si="137">A76</f>
        <v>35</v>
      </c>
      <c r="B77" s="226">
        <f t="shared" si="131"/>
        <v>54803</v>
      </c>
      <c r="C77" s="227"/>
      <c r="D77" s="207">
        <f t="shared" ref="D77" si="138">IF(A77&lt;=$J$2,L77,"")</f>
        <v>95235.060722194248</v>
      </c>
      <c r="E77" s="207"/>
      <c r="F77" s="207">
        <f>IF(A77&lt;=$J$2,$J$4*(180/360)*(SUM(D77:$D$88)),"")</f>
        <v>10916.572462653203</v>
      </c>
      <c r="G77" s="207"/>
      <c r="H77" s="207">
        <f t="shared" si="128"/>
        <v>106151.63318484745</v>
      </c>
      <c r="I77" s="207"/>
      <c r="J77" s="207">
        <f t="shared" ref="J77" si="139">IF(A77&lt;=$J$2,H76+H77,"")</f>
        <v>117068.20564750065</v>
      </c>
      <c r="K77" s="206">
        <f t="shared" si="132"/>
        <v>2050</v>
      </c>
      <c r="L77" s="207">
        <f>O77-M77</f>
        <v>95235.060722194248</v>
      </c>
      <c r="M77" s="207">
        <f>N77*$J$4</f>
        <v>21833.144925306435</v>
      </c>
      <c r="N77" s="207">
        <f>N76</f>
        <v>623804.14072304091</v>
      </c>
      <c r="O77" s="207">
        <f t="shared" si="81"/>
        <v>117068.20564750068</v>
      </c>
    </row>
    <row r="78" spans="1:15" x14ac:dyDescent="0.3">
      <c r="A78" s="8">
        <f t="shared" ref="A78" si="140">A77+1</f>
        <v>36</v>
      </c>
      <c r="B78" s="197">
        <f t="shared" si="131"/>
        <v>54984</v>
      </c>
      <c r="C78" s="182"/>
      <c r="D78" s="208"/>
      <c r="E78" s="208"/>
      <c r="F78" s="208">
        <f>IF(A78&lt;=$J$2,$J$4*(180/360)*(SUM(D78:$D$88)),"")</f>
        <v>9249.9589000148044</v>
      </c>
      <c r="G78" s="208"/>
      <c r="H78" s="208">
        <f t="shared" si="128"/>
        <v>9249.9589000148044</v>
      </c>
      <c r="I78" s="208"/>
      <c r="J78" s="209"/>
      <c r="K78" s="186">
        <f t="shared" si="132"/>
        <v>2051</v>
      </c>
      <c r="L78" s="208"/>
      <c r="M78" s="208"/>
      <c r="N78" s="208">
        <f>N77-L77</f>
        <v>528569.08000084665</v>
      </c>
      <c r="O78" s="208">
        <f t="shared" si="81"/>
        <v>117068.20564750068</v>
      </c>
    </row>
    <row r="79" spans="1:15" x14ac:dyDescent="0.3">
      <c r="A79" s="8">
        <f t="shared" ref="A79" si="141">A78</f>
        <v>36</v>
      </c>
      <c r="B79" s="197">
        <f t="shared" si="131"/>
        <v>55168</v>
      </c>
      <c r="C79" s="182"/>
      <c r="D79" s="208">
        <f t="shared" ref="D79" si="142">IF(A79&lt;=$J$2,L79,"")</f>
        <v>98568.287847471045</v>
      </c>
      <c r="E79" s="208"/>
      <c r="F79" s="208">
        <f>IF(A79&lt;=$J$2,$J$4*(180/360)*(SUM(D79:$D$88)),"")</f>
        <v>9249.9589000148044</v>
      </c>
      <c r="G79" s="208"/>
      <c r="H79" s="208">
        <f t="shared" si="128"/>
        <v>107818.24674748586</v>
      </c>
      <c r="I79" s="208"/>
      <c r="J79" s="208">
        <f t="shared" ref="J79" si="143">IF(A79&lt;=$J$2,H78+H79,"")</f>
        <v>117068.20564750067</v>
      </c>
      <c r="K79" s="210">
        <f t="shared" si="132"/>
        <v>2051</v>
      </c>
      <c r="L79" s="208">
        <f>O79-M79</f>
        <v>98568.287847471045</v>
      </c>
      <c r="M79" s="208">
        <f>N79*$J$4</f>
        <v>18499.917800029634</v>
      </c>
      <c r="N79" s="208">
        <f>N78</f>
        <v>528569.08000084665</v>
      </c>
      <c r="O79" s="208">
        <f t="shared" si="81"/>
        <v>117068.20564750068</v>
      </c>
    </row>
    <row r="80" spans="1:15" x14ac:dyDescent="0.3">
      <c r="A80" s="8">
        <f t="shared" ref="A80" si="144">A79+1</f>
        <v>37</v>
      </c>
      <c r="B80" s="226">
        <f t="shared" si="131"/>
        <v>55349</v>
      </c>
      <c r="C80" s="227"/>
      <c r="D80" s="207"/>
      <c r="E80" s="207"/>
      <c r="F80" s="207">
        <f>IF(A80&lt;=$J$2,$J$4*(180/360)*(SUM(D80:$D$88)),"")</f>
        <v>7525.0138626840608</v>
      </c>
      <c r="G80" s="207"/>
      <c r="H80" s="207">
        <f t="shared" si="128"/>
        <v>7525.0138626840608</v>
      </c>
      <c r="I80" s="207"/>
      <c r="J80" s="207"/>
      <c r="K80" s="206">
        <f t="shared" si="132"/>
        <v>2052</v>
      </c>
      <c r="L80" s="207"/>
      <c r="M80" s="207"/>
      <c r="N80" s="207">
        <f>N79-L79</f>
        <v>430000.79215337557</v>
      </c>
      <c r="O80" s="207">
        <f t="shared" si="81"/>
        <v>117068.20564750068</v>
      </c>
    </row>
    <row r="81" spans="1:15" x14ac:dyDescent="0.3">
      <c r="A81" s="8">
        <f t="shared" ref="A81" si="145">A80</f>
        <v>37</v>
      </c>
      <c r="B81" s="226">
        <f t="shared" si="131"/>
        <v>55533</v>
      </c>
      <c r="C81" s="227"/>
      <c r="D81" s="207">
        <f t="shared" ref="D81" si="146">IF(A81&lt;=$J$2,L81,"")</f>
        <v>102018.17792213254</v>
      </c>
      <c r="E81" s="207"/>
      <c r="F81" s="207">
        <f>IF(A81&lt;=$J$2,$J$4*(180/360)*(SUM(D81:$D$88)),"")</f>
        <v>7525.0138626840608</v>
      </c>
      <c r="G81" s="207"/>
      <c r="H81" s="207">
        <f t="shared" si="128"/>
        <v>109543.1917848166</v>
      </c>
      <c r="I81" s="207"/>
      <c r="J81" s="207">
        <f t="shared" ref="J81" si="147">IF(A81&lt;=$J$2,H80+H81,"")</f>
        <v>117068.20564750067</v>
      </c>
      <c r="K81" s="206">
        <f t="shared" si="132"/>
        <v>2052</v>
      </c>
      <c r="L81" s="207">
        <f>O81-M81</f>
        <v>102018.17792213254</v>
      </c>
      <c r="M81" s="207">
        <f>N81*$J$4</f>
        <v>15050.027725368147</v>
      </c>
      <c r="N81" s="207">
        <f>N80</f>
        <v>430000.79215337557</v>
      </c>
      <c r="O81" s="207">
        <f t="shared" si="81"/>
        <v>117068.20564750068</v>
      </c>
    </row>
    <row r="82" spans="1:15" x14ac:dyDescent="0.3">
      <c r="A82" s="8">
        <f t="shared" ref="A82" si="148">A81+1</f>
        <v>38</v>
      </c>
      <c r="B82" s="197">
        <f t="shared" si="131"/>
        <v>55715</v>
      </c>
      <c r="C82" s="182"/>
      <c r="D82" s="208"/>
      <c r="E82" s="208"/>
      <c r="F82" s="208">
        <f>IF(A82&lt;=$J$2,$J$4*(180/360)*(SUM(D82:$D$88)),"")</f>
        <v>5739.6957490467412</v>
      </c>
      <c r="G82" s="208"/>
      <c r="H82" s="208">
        <f t="shared" si="128"/>
        <v>5739.6957490467412</v>
      </c>
      <c r="I82" s="208"/>
      <c r="J82" s="209"/>
      <c r="K82" s="186">
        <f t="shared" si="132"/>
        <v>2053</v>
      </c>
      <c r="L82" s="208"/>
      <c r="M82" s="208"/>
      <c r="N82" s="208">
        <f>N81-L81</f>
        <v>327982.61423124303</v>
      </c>
      <c r="O82" s="208">
        <f t="shared" si="81"/>
        <v>117068.20564750068</v>
      </c>
    </row>
    <row r="83" spans="1:15" x14ac:dyDescent="0.3">
      <c r="A83" s="8">
        <f t="shared" ref="A83" si="149">A82</f>
        <v>38</v>
      </c>
      <c r="B83" s="197">
        <f t="shared" si="131"/>
        <v>55899</v>
      </c>
      <c r="C83" s="182"/>
      <c r="D83" s="208">
        <f t="shared" ref="D83" si="150">IF(A83&lt;=$J$2,L83,"")</f>
        <v>105588.81414940718</v>
      </c>
      <c r="E83" s="208"/>
      <c r="F83" s="208">
        <f>IF(A83&lt;=$J$2,$J$4*(180/360)*(SUM(D83:$D$88)),"")</f>
        <v>5739.6957490467412</v>
      </c>
      <c r="G83" s="208"/>
      <c r="H83" s="208">
        <f t="shared" si="128"/>
        <v>111328.50989845392</v>
      </c>
      <c r="I83" s="208"/>
      <c r="J83" s="208">
        <f t="shared" ref="J83" si="151">IF(A83&lt;=$J$2,H82+H83,"")</f>
        <v>117068.20564750067</v>
      </c>
      <c r="K83" s="210">
        <f t="shared" si="132"/>
        <v>2053</v>
      </c>
      <c r="L83" s="208">
        <f>O83-M83</f>
        <v>105588.81414940718</v>
      </c>
      <c r="M83" s="208">
        <f>N83*$J$4</f>
        <v>11479.391498093508</v>
      </c>
      <c r="N83" s="208">
        <f>N82</f>
        <v>327982.61423124303</v>
      </c>
      <c r="O83" s="208">
        <f t="shared" si="81"/>
        <v>117068.20564750068</v>
      </c>
    </row>
    <row r="84" spans="1:15" x14ac:dyDescent="0.3">
      <c r="A84" s="8">
        <f t="shared" ref="A84" si="152">A83+1</f>
        <v>39</v>
      </c>
      <c r="B84" s="226">
        <f t="shared" si="131"/>
        <v>56080</v>
      </c>
      <c r="C84" s="227"/>
      <c r="D84" s="207"/>
      <c r="E84" s="207"/>
      <c r="F84" s="207">
        <f>IF(A84&lt;=$J$2,$J$4*(180/360)*(SUM(D84:$D$88)),"")</f>
        <v>3891.8915014321151</v>
      </c>
      <c r="G84" s="207"/>
      <c r="H84" s="207">
        <f t="shared" si="128"/>
        <v>3891.8915014321151</v>
      </c>
      <c r="I84" s="207"/>
      <c r="J84" s="207"/>
      <c r="K84" s="206">
        <f t="shared" si="132"/>
        <v>2054</v>
      </c>
      <c r="L84" s="207"/>
      <c r="M84" s="207"/>
      <c r="N84" s="207">
        <f>N83-L83</f>
        <v>222393.80008183586</v>
      </c>
      <c r="O84" s="207">
        <f t="shared" si="81"/>
        <v>117068.20564750068</v>
      </c>
    </row>
    <row r="85" spans="1:15" x14ac:dyDescent="0.3">
      <c r="A85" s="8">
        <f t="shared" ref="A85" si="153">A84</f>
        <v>39</v>
      </c>
      <c r="B85" s="226">
        <f t="shared" si="131"/>
        <v>56264</v>
      </c>
      <c r="C85" s="227"/>
      <c r="D85" s="207">
        <f t="shared" ref="D85" si="154">IF(A85&lt;=$J$2,L85,"")</f>
        <v>109284.42264463643</v>
      </c>
      <c r="E85" s="207"/>
      <c r="F85" s="207">
        <f>IF(A85&lt;=$J$2,$J$4*(180/360)*(SUM(D85:$D$88)),"")</f>
        <v>3891.8915014321151</v>
      </c>
      <c r="G85" s="207"/>
      <c r="H85" s="207">
        <f t="shared" si="128"/>
        <v>113176.31414606854</v>
      </c>
      <c r="I85" s="207"/>
      <c r="J85" s="207">
        <f t="shared" ref="J85" si="155">IF(A85&lt;=$J$2,H84+H85,"")</f>
        <v>117068.20564750065</v>
      </c>
      <c r="K85" s="206">
        <f t="shared" si="132"/>
        <v>2054</v>
      </c>
      <c r="L85" s="207">
        <f>O85-M85</f>
        <v>109284.42264463643</v>
      </c>
      <c r="M85" s="207">
        <f>N85*$J$4</f>
        <v>7783.7830028642556</v>
      </c>
      <c r="N85" s="207">
        <f>N84</f>
        <v>222393.80008183586</v>
      </c>
      <c r="O85" s="207">
        <f t="shared" si="81"/>
        <v>117068.20564750068</v>
      </c>
    </row>
    <row r="86" spans="1:15" x14ac:dyDescent="0.3">
      <c r="A86" s="8">
        <f t="shared" ref="A86" si="156">A85+1</f>
        <v>40</v>
      </c>
      <c r="B86" s="197">
        <f t="shared" si="131"/>
        <v>56445</v>
      </c>
      <c r="C86" s="182"/>
      <c r="D86" s="208"/>
      <c r="E86" s="208"/>
      <c r="F86" s="208">
        <f>IF(A86&lt;=$J$2,$J$4*(180/360)*(SUM(D86:$D$88)),"")</f>
        <v>1979.4141051509775</v>
      </c>
      <c r="G86" s="208"/>
      <c r="H86" s="208">
        <f t="shared" si="128"/>
        <v>1979.4141051509775</v>
      </c>
      <c r="I86" s="208"/>
      <c r="J86" s="209"/>
      <c r="K86" s="186">
        <f t="shared" si="132"/>
        <v>2055</v>
      </c>
      <c r="L86" s="208"/>
      <c r="M86" s="208"/>
      <c r="N86" s="208">
        <f>N85-L85</f>
        <v>113109.37743719942</v>
      </c>
      <c r="O86" s="208">
        <f t="shared" si="81"/>
        <v>117068.20564750068</v>
      </c>
    </row>
    <row r="87" spans="1:15" x14ac:dyDescent="0.3">
      <c r="A87" s="8">
        <f t="shared" ref="A87" si="157">A86</f>
        <v>40</v>
      </c>
      <c r="B87" s="197">
        <f t="shared" si="131"/>
        <v>56629</v>
      </c>
      <c r="C87" s="182"/>
      <c r="D87" s="208">
        <f t="shared" ref="D87" si="158">IF(A87&lt;=$J$2,L87,"")</f>
        <v>113109.37743719871</v>
      </c>
      <c r="E87" s="208"/>
      <c r="F87" s="208">
        <f>IF(A87&lt;=$J$2,$J$4*(180/360)*(SUM(D87:$D$88)),"")</f>
        <v>1979.4141051509775</v>
      </c>
      <c r="G87" s="208"/>
      <c r="H87" s="208">
        <f t="shared" si="128"/>
        <v>115088.79154234969</v>
      </c>
      <c r="I87" s="208"/>
      <c r="J87" s="208">
        <f t="shared" ref="J87" si="159">IF(A87&lt;=$J$2,H86+H87,"")</f>
        <v>117068.20564750067</v>
      </c>
      <c r="K87" s="210">
        <f t="shared" si="132"/>
        <v>2055</v>
      </c>
      <c r="L87" s="208">
        <f>O87-M87</f>
        <v>113109.37743719871</v>
      </c>
      <c r="M87" s="208">
        <f>N87*$J$4</f>
        <v>3958.8282103019801</v>
      </c>
      <c r="N87" s="208">
        <f>N86</f>
        <v>113109.37743719942</v>
      </c>
      <c r="O87" s="208">
        <f t="shared" si="81"/>
        <v>117068.20564750068</v>
      </c>
    </row>
    <row r="88" spans="1:15" x14ac:dyDescent="0.3">
      <c r="B88" s="197"/>
      <c r="C88" s="182"/>
      <c r="D88" s="208"/>
      <c r="E88" s="208"/>
      <c r="F88" s="208"/>
      <c r="G88" s="208"/>
      <c r="H88" s="208"/>
      <c r="I88" s="208"/>
      <c r="J88" s="228"/>
      <c r="L88" s="208"/>
      <c r="M88" s="208"/>
      <c r="N88" s="208"/>
      <c r="O88" s="208"/>
    </row>
    <row r="89" spans="1:15" x14ac:dyDescent="0.3">
      <c r="B89" s="212" t="s">
        <v>4</v>
      </c>
      <c r="D89" s="213">
        <f>SUM(D8:D88)</f>
        <v>2499999.9999999995</v>
      </c>
      <c r="E89" s="209"/>
      <c r="F89" s="213">
        <f>SUM(F8:F88)</f>
        <v>2182728.225900027</v>
      </c>
      <c r="G89" s="209"/>
      <c r="H89" s="213">
        <f>SUM(H8:H88)</f>
        <v>4682728.225900027</v>
      </c>
      <c r="I89" s="209"/>
      <c r="J89" s="213">
        <f>SUM(J8:J88)</f>
        <v>4682728.225900026</v>
      </c>
      <c r="K89" s="210"/>
      <c r="L89" s="213">
        <f>SUM(L8:L88)</f>
        <v>2499999.9999999995</v>
      </c>
      <c r="M89" s="213">
        <f>SUM(M8:M88)</f>
        <v>2182728.2259000284</v>
      </c>
      <c r="N89" s="213">
        <f>SUM(N8:N88)</f>
        <v>124727327.19428726</v>
      </c>
      <c r="O89" s="213">
        <f>SUM(O8:O88)</f>
        <v>9365456.4518000353</v>
      </c>
    </row>
    <row r="90" spans="1:15" x14ac:dyDescent="0.3">
      <c r="B90" s="197"/>
      <c r="D90" s="208"/>
      <c r="E90" s="209"/>
      <c r="F90" s="209"/>
      <c r="G90" s="209"/>
      <c r="H90" s="209"/>
      <c r="I90" s="209"/>
      <c r="J90" s="209"/>
      <c r="K90" s="210"/>
      <c r="L90" s="211"/>
      <c r="M90" s="211"/>
      <c r="N90" s="211"/>
      <c r="O90" s="211"/>
    </row>
    <row r="91" spans="1:15" hidden="1" x14ac:dyDescent="0.3">
      <c r="D91" s="213">
        <f>SUM(D9:D88)</f>
        <v>2499999.9999999995</v>
      </c>
      <c r="E91" s="214"/>
      <c r="F91" s="213">
        <f>SUM(F9:F88)</f>
        <v>2138978.225900027</v>
      </c>
      <c r="G91" s="214"/>
      <c r="H91" s="213">
        <f>SUM(H9:H88)</f>
        <v>4638978.225900027</v>
      </c>
      <c r="I91" s="214"/>
      <c r="J91" s="213">
        <f>SUM(J9:J88)</f>
        <v>4682728.225900026</v>
      </c>
      <c r="L91" s="215" t="s">
        <v>116</v>
      </c>
      <c r="M91" s="216"/>
      <c r="N91" s="217">
        <f>J91</f>
        <v>4682728.225900026</v>
      </c>
      <c r="O91" s="211"/>
    </row>
    <row r="92" spans="1:15" x14ac:dyDescent="0.3">
      <c r="B92" s="197"/>
      <c r="D92" s="198"/>
      <c r="E92" s="199"/>
      <c r="F92" s="199"/>
      <c r="G92" s="199"/>
      <c r="H92" s="199" t="s">
        <v>118</v>
      </c>
      <c r="I92" s="199"/>
      <c r="J92" s="209">
        <f>J91/J2</f>
        <v>117068.20564750065</v>
      </c>
      <c r="L92" s="218" t="s">
        <v>113</v>
      </c>
      <c r="M92" s="219"/>
      <c r="N92" s="220">
        <f>D91</f>
        <v>2499999.9999999995</v>
      </c>
      <c r="O92" s="211"/>
    </row>
    <row r="93" spans="1:15" x14ac:dyDescent="0.3">
      <c r="B93" s="197"/>
      <c r="C93" s="182"/>
      <c r="D93" s="198"/>
      <c r="E93" s="199"/>
      <c r="F93" s="199"/>
      <c r="G93" s="199"/>
      <c r="H93" s="199" t="s">
        <v>119</v>
      </c>
      <c r="I93" s="199"/>
      <c r="J93" s="209">
        <f>J71</f>
        <v>117068.20564750067</v>
      </c>
      <c r="L93" s="221" t="s">
        <v>3</v>
      </c>
      <c r="M93" s="222"/>
      <c r="N93" s="223">
        <f>N91-N92</f>
        <v>2182728.2259000265</v>
      </c>
      <c r="O93" s="211"/>
    </row>
    <row r="94" spans="1:15" x14ac:dyDescent="0.3">
      <c r="B94" s="197"/>
      <c r="D94" s="198"/>
      <c r="E94" s="199"/>
      <c r="F94" s="199"/>
      <c r="G94" s="199"/>
      <c r="H94" s="199"/>
      <c r="J94" s="209">
        <f>J91-H91</f>
        <v>43749.999999999069</v>
      </c>
      <c r="L94" s="211"/>
      <c r="M94" s="211"/>
      <c r="N94" s="211"/>
      <c r="O94" s="211"/>
    </row>
    <row r="95" spans="1:15" x14ac:dyDescent="0.3">
      <c r="B95" s="197" t="s">
        <v>128</v>
      </c>
      <c r="D95" s="198"/>
      <c r="E95" s="199"/>
      <c r="F95" s="199"/>
      <c r="G95" s="199"/>
      <c r="H95" s="199"/>
      <c r="I95" s="199"/>
      <c r="L95" s="211"/>
      <c r="M95" s="211"/>
      <c r="N95" s="211"/>
      <c r="O95" s="211"/>
    </row>
    <row r="96" spans="1:15" x14ac:dyDescent="0.3">
      <c r="B96" s="197" t="s">
        <v>122</v>
      </c>
      <c r="L96" s="211"/>
      <c r="M96" s="211"/>
      <c r="N96" s="211"/>
      <c r="O96" s="211"/>
    </row>
    <row r="97" spans="2:15" x14ac:dyDescent="0.3">
      <c r="B97" s="197" t="s">
        <v>129</v>
      </c>
      <c r="L97" s="211"/>
      <c r="M97" s="211"/>
      <c r="N97" s="211"/>
      <c r="O97" s="211"/>
    </row>
    <row r="98" spans="2:15" x14ac:dyDescent="0.3">
      <c r="B98" s="197"/>
    </row>
    <row r="99" spans="2:15" x14ac:dyDescent="0.3">
      <c r="B99" s="197"/>
    </row>
    <row r="100" spans="2:15" x14ac:dyDescent="0.3">
      <c r="B100" s="197"/>
    </row>
    <row r="101" spans="2:15" x14ac:dyDescent="0.3">
      <c r="B101" s="197"/>
    </row>
    <row r="102" spans="2:15" x14ac:dyDescent="0.3">
      <c r="B102" s="197"/>
    </row>
    <row r="103" spans="2:15" x14ac:dyDescent="0.3">
      <c r="B103" s="197"/>
    </row>
    <row r="104" spans="2:15" x14ac:dyDescent="0.3">
      <c r="B104" s="197"/>
    </row>
  </sheetData>
  <mergeCells count="1">
    <mergeCell ref="L6:O6"/>
  </mergeCells>
  <pageMargins left="0.7" right="0.7" top="0.75" bottom="0.75" header="0.3" footer="0.3"/>
  <pageSetup fitToHeight="0" orientation="landscape" r:id="rId1"/>
  <headerFooter>
    <oddHeader>&amp;CCape Cod Commission
Section 208 Plan Update
Cost/Revenue Model&amp;R&amp;A</oddHeader>
    <oddFooter>&amp;C&amp;F&amp;RPage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G60"/>
  <sheetViews>
    <sheetView topLeftCell="B16" zoomScale="90" zoomScaleNormal="90" workbookViewId="0">
      <selection activeCell="E7" sqref="E7"/>
    </sheetView>
  </sheetViews>
  <sheetFormatPr defaultColWidth="8.90625" defaultRowHeight="14.4" x14ac:dyDescent="0.3"/>
  <cols>
    <col min="1" max="1" width="2.6328125" style="8" hidden="1" customWidth="1"/>
    <col min="2" max="2" width="15.81640625" style="8" customWidth="1"/>
    <col min="3" max="3" width="16.08984375" style="8" customWidth="1"/>
    <col min="4" max="4" width="15.81640625" style="8" customWidth="1"/>
    <col min="5" max="5" width="15.453125" style="8" customWidth="1"/>
    <col min="6" max="7" width="7.08984375" style="8" hidden="1" customWidth="1"/>
    <col min="8" max="16384" width="8.90625" style="8"/>
  </cols>
  <sheetData>
    <row r="1" spans="1:7" x14ac:dyDescent="0.3">
      <c r="B1" s="166"/>
      <c r="C1" s="166"/>
      <c r="D1" s="166"/>
      <c r="E1" s="166"/>
    </row>
    <row r="2" spans="1:7" x14ac:dyDescent="0.3">
      <c r="B2" s="5" t="s">
        <v>12</v>
      </c>
      <c r="C2" s="6"/>
      <c r="D2" s="166"/>
      <c r="E2" s="229"/>
    </row>
    <row r="3" spans="1:7" x14ac:dyDescent="0.3">
      <c r="E3" s="179"/>
    </row>
    <row r="4" spans="1:7" x14ac:dyDescent="0.3">
      <c r="B4" s="8" t="s">
        <v>14</v>
      </c>
      <c r="D4" s="12">
        <v>41866</v>
      </c>
    </row>
    <row r="5" spans="1:7" x14ac:dyDescent="0.3">
      <c r="B5" s="8" t="s">
        <v>98</v>
      </c>
      <c r="D5" s="13">
        <v>20</v>
      </c>
      <c r="G5" s="8">
        <f>-D5</f>
        <v>-20</v>
      </c>
    </row>
    <row r="6" spans="1:7" x14ac:dyDescent="0.3">
      <c r="B6" s="8" t="s">
        <v>130</v>
      </c>
      <c r="D6" s="15">
        <v>30000000</v>
      </c>
    </row>
    <row r="7" spans="1:7" x14ac:dyDescent="0.3">
      <c r="B7" s="8" t="s">
        <v>17</v>
      </c>
      <c r="D7" s="257">
        <v>0.05</v>
      </c>
    </row>
    <row r="8" spans="1:7" ht="15.6" hidden="1" x14ac:dyDescent="0.3">
      <c r="D8" s="168"/>
    </row>
    <row r="9" spans="1:7" ht="16.2" hidden="1" thickBot="1" x14ac:dyDescent="0.35">
      <c r="B9" s="169" t="s">
        <v>99</v>
      </c>
      <c r="C9" s="170"/>
      <c r="D9" s="171"/>
      <c r="E9" s="172">
        <v>1471635.0065725776</v>
      </c>
    </row>
    <row r="10" spans="1:7" ht="15.6" x14ac:dyDescent="0.3">
      <c r="D10" s="168"/>
    </row>
    <row r="11" spans="1:7" x14ac:dyDescent="0.3">
      <c r="B11" s="409" t="s">
        <v>131</v>
      </c>
      <c r="C11" s="409"/>
      <c r="D11" s="409"/>
      <c r="E11" s="409"/>
    </row>
    <row r="13" spans="1:7" ht="29.25" customHeight="1" x14ac:dyDescent="0.3">
      <c r="B13" s="173" t="s">
        <v>101</v>
      </c>
      <c r="C13" s="173" t="s">
        <v>132</v>
      </c>
      <c r="D13" s="173" t="s">
        <v>133</v>
      </c>
      <c r="E13" s="173" t="s">
        <v>6</v>
      </c>
    </row>
    <row r="15" spans="1:7" x14ac:dyDescent="0.3">
      <c r="A15" s="8">
        <v>1</v>
      </c>
      <c r="B15" s="174">
        <f>IF(A15&lt;=D$5,YEAR(D4)+1,"")</f>
        <v>2015</v>
      </c>
      <c r="C15" s="175">
        <f>IF($A15&lt;=$D$5,D$6/D$5,"")</f>
        <v>1500000</v>
      </c>
      <c r="D15" s="175">
        <f>IF($A15&lt;=$D$5,(D$6-SUM(C$14:C14))*D$7,"")</f>
        <v>1500000</v>
      </c>
      <c r="E15" s="175">
        <f>IF($A15&lt;=$D$5,C15+D15,"")</f>
        <v>3000000</v>
      </c>
    </row>
    <row r="16" spans="1:7" x14ac:dyDescent="0.3">
      <c r="A16" s="8">
        <v>2</v>
      </c>
      <c r="B16" s="174">
        <f>IF(A16&lt;=D$5,B15+1,"")</f>
        <v>2016</v>
      </c>
      <c r="C16" s="176">
        <f t="shared" ref="C16:C54" si="0">IF($A16&lt;=$D$5,D$6/D$5,"")</f>
        <v>1500000</v>
      </c>
      <c r="D16" s="175">
        <f>IF($A16&lt;=$D$5,(D$6-SUM(C$14:C15))*D$7,"")</f>
        <v>1425000</v>
      </c>
      <c r="E16" s="175">
        <f t="shared" ref="E16:E54" si="1">IF($A16&lt;=$D$5,C16+D16,"")</f>
        <v>2925000</v>
      </c>
    </row>
    <row r="17" spans="1:5" x14ac:dyDescent="0.3">
      <c r="A17" s="8">
        <v>3</v>
      </c>
      <c r="B17" s="174">
        <f t="shared" ref="B17:B54" si="2">IF(A17&lt;=D$5,B16+1,"")</f>
        <v>2017</v>
      </c>
      <c r="C17" s="176">
        <f t="shared" si="0"/>
        <v>1500000</v>
      </c>
      <c r="D17" s="175">
        <f>IF($A17&lt;=$D$5,(D$6-SUM(C$14:C16))*D$7,"")</f>
        <v>1350000</v>
      </c>
      <c r="E17" s="175">
        <f t="shared" si="1"/>
        <v>2850000</v>
      </c>
    </row>
    <row r="18" spans="1:5" x14ac:dyDescent="0.3">
      <c r="A18" s="8">
        <v>4</v>
      </c>
      <c r="B18" s="174">
        <f t="shared" si="2"/>
        <v>2018</v>
      </c>
      <c r="C18" s="176">
        <f t="shared" si="0"/>
        <v>1500000</v>
      </c>
      <c r="D18" s="175">
        <f>IF($A18&lt;=$D$5,(D$6-SUM(C$14:C17))*D$7,"")</f>
        <v>1275000</v>
      </c>
      <c r="E18" s="175">
        <f t="shared" si="1"/>
        <v>2775000</v>
      </c>
    </row>
    <row r="19" spans="1:5" x14ac:dyDescent="0.3">
      <c r="A19" s="8">
        <v>5</v>
      </c>
      <c r="B19" s="174">
        <f t="shared" si="2"/>
        <v>2019</v>
      </c>
      <c r="C19" s="176">
        <f t="shared" si="0"/>
        <v>1500000</v>
      </c>
      <c r="D19" s="175">
        <f>IF($A19&lt;=$D$5,(D$6-SUM(C$14:C18))*D$7,"")</f>
        <v>1200000</v>
      </c>
      <c r="E19" s="175">
        <f t="shared" si="1"/>
        <v>2700000</v>
      </c>
    </row>
    <row r="20" spans="1:5" x14ac:dyDescent="0.3">
      <c r="A20" s="8">
        <v>6</v>
      </c>
      <c r="B20" s="174">
        <f t="shared" si="2"/>
        <v>2020</v>
      </c>
      <c r="C20" s="176">
        <f t="shared" si="0"/>
        <v>1500000</v>
      </c>
      <c r="D20" s="175">
        <f>IF($A20&lt;=$D$5,(D$6-SUM(C$14:C19))*D$7,"")</f>
        <v>1125000</v>
      </c>
      <c r="E20" s="175">
        <f t="shared" si="1"/>
        <v>2625000</v>
      </c>
    </row>
    <row r="21" spans="1:5" x14ac:dyDescent="0.3">
      <c r="A21" s="8">
        <v>7</v>
      </c>
      <c r="B21" s="174">
        <f t="shared" si="2"/>
        <v>2021</v>
      </c>
      <c r="C21" s="176">
        <f t="shared" si="0"/>
        <v>1500000</v>
      </c>
      <c r="D21" s="175">
        <f>IF($A21&lt;=$D$5,(D$6-SUM(C$14:C20))*D$7,"")</f>
        <v>1050000</v>
      </c>
      <c r="E21" s="175">
        <f t="shared" si="1"/>
        <v>2550000</v>
      </c>
    </row>
    <row r="22" spans="1:5" x14ac:dyDescent="0.3">
      <c r="A22" s="8">
        <v>8</v>
      </c>
      <c r="B22" s="174">
        <f t="shared" si="2"/>
        <v>2022</v>
      </c>
      <c r="C22" s="176">
        <f t="shared" si="0"/>
        <v>1500000</v>
      </c>
      <c r="D22" s="175">
        <f>IF($A22&lt;=$D$5,(D$6-SUM(C$14:C21))*D$7,"")</f>
        <v>975000</v>
      </c>
      <c r="E22" s="175">
        <f t="shared" si="1"/>
        <v>2475000</v>
      </c>
    </row>
    <row r="23" spans="1:5" x14ac:dyDescent="0.3">
      <c r="A23" s="8">
        <v>9</v>
      </c>
      <c r="B23" s="174">
        <f t="shared" si="2"/>
        <v>2023</v>
      </c>
      <c r="C23" s="176">
        <f t="shared" si="0"/>
        <v>1500000</v>
      </c>
      <c r="D23" s="175">
        <f>IF($A23&lt;=$D$5,(D$6-SUM(C$14:C22))*D$7,"")</f>
        <v>900000</v>
      </c>
      <c r="E23" s="175">
        <f t="shared" si="1"/>
        <v>2400000</v>
      </c>
    </row>
    <row r="24" spans="1:5" x14ac:dyDescent="0.3">
      <c r="A24" s="8">
        <v>10</v>
      </c>
      <c r="B24" s="174">
        <f t="shared" si="2"/>
        <v>2024</v>
      </c>
      <c r="C24" s="176">
        <f t="shared" si="0"/>
        <v>1500000</v>
      </c>
      <c r="D24" s="175">
        <f>IF($A24&lt;=$D$5,(D$6-SUM(C$14:C23))*D$7,"")</f>
        <v>825000</v>
      </c>
      <c r="E24" s="175">
        <f t="shared" si="1"/>
        <v>2325000</v>
      </c>
    </row>
    <row r="25" spans="1:5" x14ac:dyDescent="0.3">
      <c r="A25" s="8">
        <v>11</v>
      </c>
      <c r="B25" s="174">
        <f t="shared" si="2"/>
        <v>2025</v>
      </c>
      <c r="C25" s="176">
        <f t="shared" si="0"/>
        <v>1500000</v>
      </c>
      <c r="D25" s="175">
        <f>IF($A25&lt;=$D$5,(D$6-SUM(C$14:C24))*D$7,"")</f>
        <v>750000</v>
      </c>
      <c r="E25" s="175">
        <f t="shared" si="1"/>
        <v>2250000</v>
      </c>
    </row>
    <row r="26" spans="1:5" x14ac:dyDescent="0.3">
      <c r="A26" s="8">
        <v>12</v>
      </c>
      <c r="B26" s="174">
        <f t="shared" si="2"/>
        <v>2026</v>
      </c>
      <c r="C26" s="176">
        <f t="shared" si="0"/>
        <v>1500000</v>
      </c>
      <c r="D26" s="175">
        <f>IF($A26&lt;=$D$5,(D$6-SUM(C$14:C25))*D$7,"")</f>
        <v>675000</v>
      </c>
      <c r="E26" s="175">
        <f t="shared" si="1"/>
        <v>2175000</v>
      </c>
    </row>
    <row r="27" spans="1:5" x14ac:dyDescent="0.3">
      <c r="A27" s="8">
        <v>13</v>
      </c>
      <c r="B27" s="174">
        <f t="shared" si="2"/>
        <v>2027</v>
      </c>
      <c r="C27" s="176">
        <f t="shared" si="0"/>
        <v>1500000</v>
      </c>
      <c r="D27" s="175">
        <f>IF($A27&lt;=$D$5,(D$6-SUM(C$14:C26))*D$7,"")</f>
        <v>600000</v>
      </c>
      <c r="E27" s="175">
        <f t="shared" si="1"/>
        <v>2100000</v>
      </c>
    </row>
    <row r="28" spans="1:5" x14ac:dyDescent="0.3">
      <c r="A28" s="8">
        <v>14</v>
      </c>
      <c r="B28" s="174">
        <f t="shared" si="2"/>
        <v>2028</v>
      </c>
      <c r="C28" s="176">
        <f t="shared" si="0"/>
        <v>1500000</v>
      </c>
      <c r="D28" s="175">
        <f>IF($A28&lt;=$D$5,(D$6-SUM(C$14:C27))*D$7,"")</f>
        <v>525000</v>
      </c>
      <c r="E28" s="175">
        <f t="shared" si="1"/>
        <v>2025000</v>
      </c>
    </row>
    <row r="29" spans="1:5" x14ac:dyDescent="0.3">
      <c r="A29" s="8">
        <v>15</v>
      </c>
      <c r="B29" s="174">
        <f t="shared" si="2"/>
        <v>2029</v>
      </c>
      <c r="C29" s="176">
        <f t="shared" si="0"/>
        <v>1500000</v>
      </c>
      <c r="D29" s="175">
        <f>IF($A29&lt;=$D$5,(D$6-SUM(C$14:C28))*D$7,"")</f>
        <v>450000</v>
      </c>
      <c r="E29" s="175">
        <f t="shared" si="1"/>
        <v>1950000</v>
      </c>
    </row>
    <row r="30" spans="1:5" x14ac:dyDescent="0.3">
      <c r="A30" s="8">
        <v>16</v>
      </c>
      <c r="B30" s="174">
        <f t="shared" si="2"/>
        <v>2030</v>
      </c>
      <c r="C30" s="176">
        <f t="shared" si="0"/>
        <v>1500000</v>
      </c>
      <c r="D30" s="175">
        <f>IF($A30&lt;=$D$5,(D$6-SUM(C$14:C29))*D$7,"")</f>
        <v>375000</v>
      </c>
      <c r="E30" s="175">
        <f t="shared" si="1"/>
        <v>1875000</v>
      </c>
    </row>
    <row r="31" spans="1:5" x14ac:dyDescent="0.3">
      <c r="A31" s="8">
        <v>17</v>
      </c>
      <c r="B31" s="174">
        <f t="shared" si="2"/>
        <v>2031</v>
      </c>
      <c r="C31" s="176">
        <f t="shared" si="0"/>
        <v>1500000</v>
      </c>
      <c r="D31" s="175">
        <f>IF($A31&lt;=$D$5,(D$6-SUM(C$14:C30))*D$7,"")</f>
        <v>300000</v>
      </c>
      <c r="E31" s="175">
        <f t="shared" si="1"/>
        <v>1800000</v>
      </c>
    </row>
    <row r="32" spans="1:5" x14ac:dyDescent="0.3">
      <c r="A32" s="8">
        <v>18</v>
      </c>
      <c r="B32" s="174">
        <f t="shared" si="2"/>
        <v>2032</v>
      </c>
      <c r="C32" s="176">
        <f t="shared" si="0"/>
        <v>1500000</v>
      </c>
      <c r="D32" s="175">
        <f>IF($A32&lt;=$D$5,(D$6-SUM(C$14:C31))*D$7,"")</f>
        <v>225000</v>
      </c>
      <c r="E32" s="175">
        <f t="shared" si="1"/>
        <v>1725000</v>
      </c>
    </row>
    <row r="33" spans="1:5" x14ac:dyDescent="0.3">
      <c r="A33" s="8">
        <v>19</v>
      </c>
      <c r="B33" s="174">
        <f t="shared" si="2"/>
        <v>2033</v>
      </c>
      <c r="C33" s="176">
        <f t="shared" si="0"/>
        <v>1500000</v>
      </c>
      <c r="D33" s="175">
        <f>IF($A33&lt;=$D$5,(D$6-SUM(C$14:C32))*D$7,"")</f>
        <v>150000</v>
      </c>
      <c r="E33" s="175">
        <f t="shared" si="1"/>
        <v>1650000</v>
      </c>
    </row>
    <row r="34" spans="1:5" x14ac:dyDescent="0.3">
      <c r="A34" s="8">
        <v>20</v>
      </c>
      <c r="B34" s="174">
        <f t="shared" si="2"/>
        <v>2034</v>
      </c>
      <c r="C34" s="176">
        <f t="shared" si="0"/>
        <v>1500000</v>
      </c>
      <c r="D34" s="175">
        <f>IF($A34&lt;=$D$5,(D$6-SUM(C$14:C33))*D$7,"")</f>
        <v>75000</v>
      </c>
      <c r="E34" s="175">
        <f t="shared" si="1"/>
        <v>1575000</v>
      </c>
    </row>
    <row r="35" spans="1:5" x14ac:dyDescent="0.3">
      <c r="A35" s="8">
        <v>21</v>
      </c>
      <c r="B35" s="174" t="str">
        <f t="shared" si="2"/>
        <v/>
      </c>
      <c r="C35" s="176" t="str">
        <f t="shared" si="0"/>
        <v/>
      </c>
      <c r="D35" s="175" t="str">
        <f>IF($A35&lt;=$D$5,(D$6-SUM(C$14:C34))*D$7,"")</f>
        <v/>
      </c>
      <c r="E35" s="175" t="str">
        <f t="shared" si="1"/>
        <v/>
      </c>
    </row>
    <row r="36" spans="1:5" x14ac:dyDescent="0.3">
      <c r="A36" s="8">
        <v>22</v>
      </c>
      <c r="B36" s="174" t="str">
        <f t="shared" si="2"/>
        <v/>
      </c>
      <c r="C36" s="176" t="str">
        <f t="shared" si="0"/>
        <v/>
      </c>
      <c r="D36" s="175" t="str">
        <f>IF($A36&lt;=$D$5,(D$6-SUM(C$14:C35))*D$7,"")</f>
        <v/>
      </c>
      <c r="E36" s="175" t="str">
        <f t="shared" si="1"/>
        <v/>
      </c>
    </row>
    <row r="37" spans="1:5" x14ac:dyDescent="0.3">
      <c r="A37" s="8">
        <v>23</v>
      </c>
      <c r="B37" s="174" t="str">
        <f t="shared" si="2"/>
        <v/>
      </c>
      <c r="C37" s="176" t="str">
        <f t="shared" si="0"/>
        <v/>
      </c>
      <c r="D37" s="175" t="str">
        <f>IF($A37&lt;=$D$5,(D$6-SUM(C$14:C36))*D$7,"")</f>
        <v/>
      </c>
      <c r="E37" s="175" t="str">
        <f t="shared" si="1"/>
        <v/>
      </c>
    </row>
    <row r="38" spans="1:5" x14ac:dyDescent="0.3">
      <c r="A38" s="8">
        <v>24</v>
      </c>
      <c r="B38" s="174" t="str">
        <f t="shared" si="2"/>
        <v/>
      </c>
      <c r="C38" s="176" t="str">
        <f t="shared" si="0"/>
        <v/>
      </c>
      <c r="D38" s="175" t="str">
        <f>IF($A38&lt;=$D$5,(D$6-SUM(C$14:C37))*D$7,"")</f>
        <v/>
      </c>
      <c r="E38" s="175" t="str">
        <f t="shared" si="1"/>
        <v/>
      </c>
    </row>
    <row r="39" spans="1:5" x14ac:dyDescent="0.3">
      <c r="A39" s="8">
        <v>25</v>
      </c>
      <c r="B39" s="174" t="str">
        <f t="shared" si="2"/>
        <v/>
      </c>
      <c r="C39" s="176" t="str">
        <f t="shared" si="0"/>
        <v/>
      </c>
      <c r="D39" s="175" t="str">
        <f>IF($A39&lt;=$D$5,(D$6-SUM(C$14:C38))*D$7,"")</f>
        <v/>
      </c>
      <c r="E39" s="175" t="str">
        <f t="shared" si="1"/>
        <v/>
      </c>
    </row>
    <row r="40" spans="1:5" x14ac:dyDescent="0.3">
      <c r="A40" s="8">
        <v>26</v>
      </c>
      <c r="B40" s="174" t="str">
        <f t="shared" si="2"/>
        <v/>
      </c>
      <c r="C40" s="176" t="str">
        <f t="shared" si="0"/>
        <v/>
      </c>
      <c r="D40" s="175" t="str">
        <f>IF($A40&lt;=$D$5,(D$6-SUM(C$14:C39))*D$7,"")</f>
        <v/>
      </c>
      <c r="E40" s="175" t="str">
        <f t="shared" si="1"/>
        <v/>
      </c>
    </row>
    <row r="41" spans="1:5" x14ac:dyDescent="0.3">
      <c r="A41" s="8">
        <v>27</v>
      </c>
      <c r="B41" s="174" t="str">
        <f t="shared" si="2"/>
        <v/>
      </c>
      <c r="C41" s="176" t="str">
        <f t="shared" si="0"/>
        <v/>
      </c>
      <c r="D41" s="175" t="str">
        <f>IF($A41&lt;=$D$5,(D$6-SUM(C$14:C40))*D$7,"")</f>
        <v/>
      </c>
      <c r="E41" s="175" t="str">
        <f t="shared" si="1"/>
        <v/>
      </c>
    </row>
    <row r="42" spans="1:5" x14ac:dyDescent="0.3">
      <c r="A42" s="8">
        <v>28</v>
      </c>
      <c r="B42" s="174" t="str">
        <f t="shared" si="2"/>
        <v/>
      </c>
      <c r="C42" s="176" t="str">
        <f t="shared" si="0"/>
        <v/>
      </c>
      <c r="D42" s="175" t="str">
        <f>IF($A42&lt;=$D$5,(D$6-SUM(C$14:C41))*D$7,"")</f>
        <v/>
      </c>
      <c r="E42" s="175" t="str">
        <f t="shared" si="1"/>
        <v/>
      </c>
    </row>
    <row r="43" spans="1:5" x14ac:dyDescent="0.3">
      <c r="A43" s="8">
        <v>29</v>
      </c>
      <c r="B43" s="174" t="str">
        <f t="shared" si="2"/>
        <v/>
      </c>
      <c r="C43" s="176" t="str">
        <f t="shared" si="0"/>
        <v/>
      </c>
      <c r="D43" s="175" t="str">
        <f>IF($A43&lt;=$D$5,(D$6-SUM(C$14:C42))*D$7,"")</f>
        <v/>
      </c>
      <c r="E43" s="175" t="str">
        <f t="shared" si="1"/>
        <v/>
      </c>
    </row>
    <row r="44" spans="1:5" x14ac:dyDescent="0.3">
      <c r="A44" s="8">
        <v>30</v>
      </c>
      <c r="B44" s="174" t="str">
        <f t="shared" si="2"/>
        <v/>
      </c>
      <c r="C44" s="176" t="str">
        <f t="shared" si="0"/>
        <v/>
      </c>
      <c r="D44" s="175" t="str">
        <f>IF($A44&lt;=$D$5,(D$6-SUM(C$14:C43))*D$7,"")</f>
        <v/>
      </c>
      <c r="E44" s="175" t="str">
        <f t="shared" si="1"/>
        <v/>
      </c>
    </row>
    <row r="45" spans="1:5" x14ac:dyDescent="0.3">
      <c r="A45" s="8">
        <v>31</v>
      </c>
      <c r="B45" s="174" t="str">
        <f t="shared" si="2"/>
        <v/>
      </c>
      <c r="C45" s="176" t="str">
        <f t="shared" si="0"/>
        <v/>
      </c>
      <c r="D45" s="175" t="str">
        <f>IF($A45&lt;=$D$5,(D$6-SUM(C$14:C44))*D$7,"")</f>
        <v/>
      </c>
      <c r="E45" s="175" t="str">
        <f t="shared" si="1"/>
        <v/>
      </c>
    </row>
    <row r="46" spans="1:5" x14ac:dyDescent="0.3">
      <c r="A46" s="8">
        <v>32</v>
      </c>
      <c r="B46" s="174" t="str">
        <f t="shared" si="2"/>
        <v/>
      </c>
      <c r="C46" s="176" t="str">
        <f t="shared" si="0"/>
        <v/>
      </c>
      <c r="D46" s="175" t="str">
        <f>IF($A46&lt;=$D$5,(D$6-SUM(C$14:C45))*D$7,"")</f>
        <v/>
      </c>
      <c r="E46" s="175" t="str">
        <f t="shared" si="1"/>
        <v/>
      </c>
    </row>
    <row r="47" spans="1:5" x14ac:dyDescent="0.3">
      <c r="A47" s="8">
        <v>33</v>
      </c>
      <c r="B47" s="174" t="str">
        <f t="shared" si="2"/>
        <v/>
      </c>
      <c r="C47" s="176" t="str">
        <f t="shared" si="0"/>
        <v/>
      </c>
      <c r="D47" s="175" t="str">
        <f>IF($A47&lt;=$D$5,(D$6-SUM(C$14:C46))*D$7,"")</f>
        <v/>
      </c>
      <c r="E47" s="175" t="str">
        <f t="shared" si="1"/>
        <v/>
      </c>
    </row>
    <row r="48" spans="1:5" x14ac:dyDescent="0.3">
      <c r="A48" s="8">
        <v>34</v>
      </c>
      <c r="B48" s="174" t="str">
        <f t="shared" si="2"/>
        <v/>
      </c>
      <c r="C48" s="176" t="str">
        <f t="shared" si="0"/>
        <v/>
      </c>
      <c r="D48" s="175" t="str">
        <f>IF($A48&lt;=$D$5,(D$6-SUM(C$14:C47))*D$7,"")</f>
        <v/>
      </c>
      <c r="E48" s="175" t="str">
        <f t="shared" si="1"/>
        <v/>
      </c>
    </row>
    <row r="49" spans="1:5" x14ac:dyDescent="0.3">
      <c r="A49" s="8">
        <v>35</v>
      </c>
      <c r="B49" s="174" t="str">
        <f t="shared" si="2"/>
        <v/>
      </c>
      <c r="C49" s="176" t="str">
        <f t="shared" si="0"/>
        <v/>
      </c>
      <c r="D49" s="175" t="str">
        <f>IF($A49&lt;=$D$5,(D$6-SUM(C$14:C48))*D$7,"")</f>
        <v/>
      </c>
      <c r="E49" s="175" t="str">
        <f t="shared" si="1"/>
        <v/>
      </c>
    </row>
    <row r="50" spans="1:5" x14ac:dyDescent="0.3">
      <c r="A50" s="8">
        <v>36</v>
      </c>
      <c r="B50" s="174" t="str">
        <f t="shared" si="2"/>
        <v/>
      </c>
      <c r="C50" s="176" t="str">
        <f t="shared" si="0"/>
        <v/>
      </c>
      <c r="D50" s="175" t="str">
        <f>IF($A50&lt;=$D$5,(D$6-SUM(C$14:C49))*D$7,"")</f>
        <v/>
      </c>
      <c r="E50" s="175" t="str">
        <f t="shared" si="1"/>
        <v/>
      </c>
    </row>
    <row r="51" spans="1:5" x14ac:dyDescent="0.3">
      <c r="A51" s="8">
        <v>37</v>
      </c>
      <c r="B51" s="174" t="str">
        <f t="shared" si="2"/>
        <v/>
      </c>
      <c r="C51" s="176" t="str">
        <f t="shared" si="0"/>
        <v/>
      </c>
      <c r="D51" s="175" t="str">
        <f>IF($A51&lt;=$D$5,(D$6-SUM(C$14:C50))*D$7,"")</f>
        <v/>
      </c>
      <c r="E51" s="175" t="str">
        <f t="shared" si="1"/>
        <v/>
      </c>
    </row>
    <row r="52" spans="1:5" x14ac:dyDescent="0.3">
      <c r="A52" s="8">
        <v>38</v>
      </c>
      <c r="B52" s="174" t="str">
        <f t="shared" si="2"/>
        <v/>
      </c>
      <c r="C52" s="176" t="str">
        <f t="shared" si="0"/>
        <v/>
      </c>
      <c r="D52" s="175" t="str">
        <f>IF($A52&lt;=$D$5,(D$6-SUM(C$14:C51))*D$7,"")</f>
        <v/>
      </c>
      <c r="E52" s="175" t="str">
        <f t="shared" si="1"/>
        <v/>
      </c>
    </row>
    <row r="53" spans="1:5" x14ac:dyDescent="0.3">
      <c r="A53" s="8">
        <v>39</v>
      </c>
      <c r="B53" s="174" t="str">
        <f t="shared" si="2"/>
        <v/>
      </c>
      <c r="C53" s="176" t="str">
        <f t="shared" si="0"/>
        <v/>
      </c>
      <c r="D53" s="175" t="str">
        <f>IF($A53&lt;=$D$5,(D$6-SUM(C$14:C52))*D$7,"")</f>
        <v/>
      </c>
      <c r="E53" s="175" t="str">
        <f t="shared" si="1"/>
        <v/>
      </c>
    </row>
    <row r="54" spans="1:5" x14ac:dyDescent="0.3">
      <c r="A54" s="8">
        <v>40</v>
      </c>
      <c r="B54" s="174" t="str">
        <f t="shared" si="2"/>
        <v/>
      </c>
      <c r="C54" s="176" t="str">
        <f t="shared" si="0"/>
        <v/>
      </c>
      <c r="D54" s="175" t="str">
        <f>IF($A54&lt;=$D$5,(D$6-SUM(C$14:C53))*D$7,"")</f>
        <v/>
      </c>
      <c r="E54" s="175" t="str">
        <f t="shared" si="1"/>
        <v/>
      </c>
    </row>
    <row r="56" spans="1:5" x14ac:dyDescent="0.3">
      <c r="B56" s="177" t="s">
        <v>2</v>
      </c>
      <c r="C56" s="178">
        <f>SUM(C15:C55)</f>
        <v>30000000</v>
      </c>
      <c r="D56" s="178">
        <f t="shared" ref="D56:E56" si="3">SUM(D15:D55)</f>
        <v>15750000</v>
      </c>
      <c r="E56" s="178">
        <f t="shared" si="3"/>
        <v>45750000</v>
      </c>
    </row>
    <row r="58" spans="1:5" x14ac:dyDescent="0.3">
      <c r="B58" s="230" t="s">
        <v>134</v>
      </c>
    </row>
    <row r="59" spans="1:5" x14ac:dyDescent="0.3">
      <c r="B59" s="8" t="s">
        <v>135</v>
      </c>
    </row>
    <row r="60" spans="1:5" x14ac:dyDescent="0.3">
      <c r="B60" s="230" t="s">
        <v>136</v>
      </c>
    </row>
  </sheetData>
  <mergeCells count="1">
    <mergeCell ref="B11:E11"/>
  </mergeCells>
  <pageMargins left="0.7" right="0.7" top="0.75" bottom="0.75" header="0.3" footer="0.3"/>
  <pageSetup orientation="portrait" r:id="rId1"/>
  <headerFooter>
    <oddHeader>&amp;CCape Cod Commission
Section 208 Plan Update
Cost/Revenue Model&amp;R&amp;A</oddHeader>
    <oddFooter>&amp;C&amp;F&amp;RPage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B36"/>
  <sheetViews>
    <sheetView workbookViewId="0">
      <selection activeCell="B19" sqref="B19"/>
    </sheetView>
  </sheetViews>
  <sheetFormatPr defaultRowHeight="14.4" x14ac:dyDescent="0.3"/>
  <cols>
    <col min="1" max="1" width="36.1796875" style="8" customWidth="1"/>
    <col min="2" max="2" width="10.54296875" style="8" bestFit="1" customWidth="1"/>
    <col min="3" max="254" width="8.90625" style="8"/>
    <col min="255" max="255" width="22.1796875" style="8" customWidth="1"/>
    <col min="256" max="256" width="11.08984375" style="8" bestFit="1" customWidth="1"/>
    <col min="257" max="510" width="8.90625" style="8"/>
    <col min="511" max="511" width="22.1796875" style="8" customWidth="1"/>
    <col min="512" max="512" width="11.08984375" style="8" bestFit="1" customWidth="1"/>
    <col min="513" max="766" width="8.90625" style="8"/>
    <col min="767" max="767" width="22.1796875" style="8" customWidth="1"/>
    <col min="768" max="768" width="11.08984375" style="8" bestFit="1" customWidth="1"/>
    <col min="769" max="1022" width="8.90625" style="8"/>
    <col min="1023" max="1023" width="22.1796875" style="8" customWidth="1"/>
    <col min="1024" max="1024" width="11.08984375" style="8" bestFit="1" customWidth="1"/>
    <col min="1025" max="1278" width="8.90625" style="8"/>
    <col min="1279" max="1279" width="22.1796875" style="8" customWidth="1"/>
    <col min="1280" max="1280" width="11.08984375" style="8" bestFit="1" customWidth="1"/>
    <col min="1281" max="1534" width="8.90625" style="8"/>
    <col min="1535" max="1535" width="22.1796875" style="8" customWidth="1"/>
    <col min="1536" max="1536" width="11.08984375" style="8" bestFit="1" customWidth="1"/>
    <col min="1537" max="1790" width="8.90625" style="8"/>
    <col min="1791" max="1791" width="22.1796875" style="8" customWidth="1"/>
    <col min="1792" max="1792" width="11.08984375" style="8" bestFit="1" customWidth="1"/>
    <col min="1793" max="2046" width="8.90625" style="8"/>
    <col min="2047" max="2047" width="22.1796875" style="8" customWidth="1"/>
    <col min="2048" max="2048" width="11.08984375" style="8" bestFit="1" customWidth="1"/>
    <col min="2049" max="2302" width="8.90625" style="8"/>
    <col min="2303" max="2303" width="22.1796875" style="8" customWidth="1"/>
    <col min="2304" max="2304" width="11.08984375" style="8" bestFit="1" customWidth="1"/>
    <col min="2305" max="2558" width="8.90625" style="8"/>
    <col min="2559" max="2559" width="22.1796875" style="8" customWidth="1"/>
    <col min="2560" max="2560" width="11.08984375" style="8" bestFit="1" customWidth="1"/>
    <col min="2561" max="2814" width="8.90625" style="8"/>
    <col min="2815" max="2815" width="22.1796875" style="8" customWidth="1"/>
    <col min="2816" max="2816" width="11.08984375" style="8" bestFit="1" customWidth="1"/>
    <col min="2817" max="3070" width="8.90625" style="8"/>
    <col min="3071" max="3071" width="22.1796875" style="8" customWidth="1"/>
    <col min="3072" max="3072" width="11.08984375" style="8" bestFit="1" customWidth="1"/>
    <col min="3073" max="3326" width="8.90625" style="8"/>
    <col min="3327" max="3327" width="22.1796875" style="8" customWidth="1"/>
    <col min="3328" max="3328" width="11.08984375" style="8" bestFit="1" customWidth="1"/>
    <col min="3329" max="3582" width="8.90625" style="8"/>
    <col min="3583" max="3583" width="22.1796875" style="8" customWidth="1"/>
    <col min="3584" max="3584" width="11.08984375" style="8" bestFit="1" customWidth="1"/>
    <col min="3585" max="3838" width="8.90625" style="8"/>
    <col min="3839" max="3839" width="22.1796875" style="8" customWidth="1"/>
    <col min="3840" max="3840" width="11.08984375" style="8" bestFit="1" customWidth="1"/>
    <col min="3841" max="4094" width="8.90625" style="8"/>
    <col min="4095" max="4095" width="22.1796875" style="8" customWidth="1"/>
    <col min="4096" max="4096" width="11.08984375" style="8" bestFit="1" customWidth="1"/>
    <col min="4097" max="4350" width="8.90625" style="8"/>
    <col min="4351" max="4351" width="22.1796875" style="8" customWidth="1"/>
    <col min="4352" max="4352" width="11.08984375" style="8" bestFit="1" customWidth="1"/>
    <col min="4353" max="4606" width="8.90625" style="8"/>
    <col min="4607" max="4607" width="22.1796875" style="8" customWidth="1"/>
    <col min="4608" max="4608" width="11.08984375" style="8" bestFit="1" customWidth="1"/>
    <col min="4609" max="4862" width="8.90625" style="8"/>
    <col min="4863" max="4863" width="22.1796875" style="8" customWidth="1"/>
    <col min="4864" max="4864" width="11.08984375" style="8" bestFit="1" customWidth="1"/>
    <col min="4865" max="5118" width="8.90625" style="8"/>
    <col min="5119" max="5119" width="22.1796875" style="8" customWidth="1"/>
    <col min="5120" max="5120" width="11.08984375" style="8" bestFit="1" customWidth="1"/>
    <col min="5121" max="5374" width="8.90625" style="8"/>
    <col min="5375" max="5375" width="22.1796875" style="8" customWidth="1"/>
    <col min="5376" max="5376" width="11.08984375" style="8" bestFit="1" customWidth="1"/>
    <col min="5377" max="5630" width="8.90625" style="8"/>
    <col min="5631" max="5631" width="22.1796875" style="8" customWidth="1"/>
    <col min="5632" max="5632" width="11.08984375" style="8" bestFit="1" customWidth="1"/>
    <col min="5633" max="5886" width="8.90625" style="8"/>
    <col min="5887" max="5887" width="22.1796875" style="8" customWidth="1"/>
    <col min="5888" max="5888" width="11.08984375" style="8" bestFit="1" customWidth="1"/>
    <col min="5889" max="6142" width="8.90625" style="8"/>
    <col min="6143" max="6143" width="22.1796875" style="8" customWidth="1"/>
    <col min="6144" max="6144" width="11.08984375" style="8" bestFit="1" customWidth="1"/>
    <col min="6145" max="6398" width="8.90625" style="8"/>
    <col min="6399" max="6399" width="22.1796875" style="8" customWidth="1"/>
    <col min="6400" max="6400" width="11.08984375" style="8" bestFit="1" customWidth="1"/>
    <col min="6401" max="6654" width="8.90625" style="8"/>
    <col min="6655" max="6655" width="22.1796875" style="8" customWidth="1"/>
    <col min="6656" max="6656" width="11.08984375" style="8" bestFit="1" customWidth="1"/>
    <col min="6657" max="6910" width="8.90625" style="8"/>
    <col min="6911" max="6911" width="22.1796875" style="8" customWidth="1"/>
    <col min="6912" max="6912" width="11.08984375" style="8" bestFit="1" customWidth="1"/>
    <col min="6913" max="7166" width="8.90625" style="8"/>
    <col min="7167" max="7167" width="22.1796875" style="8" customWidth="1"/>
    <col min="7168" max="7168" width="11.08984375" style="8" bestFit="1" customWidth="1"/>
    <col min="7169" max="7422" width="8.90625" style="8"/>
    <col min="7423" max="7423" width="22.1796875" style="8" customWidth="1"/>
    <col min="7424" max="7424" width="11.08984375" style="8" bestFit="1" customWidth="1"/>
    <col min="7425" max="7678" width="8.90625" style="8"/>
    <col min="7679" max="7679" width="22.1796875" style="8" customWidth="1"/>
    <col min="7680" max="7680" width="11.08984375" style="8" bestFit="1" customWidth="1"/>
    <col min="7681" max="7934" width="8.90625" style="8"/>
    <col min="7935" max="7935" width="22.1796875" style="8" customWidth="1"/>
    <col min="7936" max="7936" width="11.08984375" style="8" bestFit="1" customWidth="1"/>
    <col min="7937" max="8190" width="8.90625" style="8"/>
    <col min="8191" max="8191" width="22.1796875" style="8" customWidth="1"/>
    <col min="8192" max="8192" width="11.08984375" style="8" bestFit="1" customWidth="1"/>
    <col min="8193" max="8446" width="8.90625" style="8"/>
    <col min="8447" max="8447" width="22.1796875" style="8" customWidth="1"/>
    <col min="8448" max="8448" width="11.08984375" style="8" bestFit="1" customWidth="1"/>
    <col min="8449" max="8702" width="8.90625" style="8"/>
    <col min="8703" max="8703" width="22.1796875" style="8" customWidth="1"/>
    <col min="8704" max="8704" width="11.08984375" style="8" bestFit="1" customWidth="1"/>
    <col min="8705" max="8958" width="8.90625" style="8"/>
    <col min="8959" max="8959" width="22.1796875" style="8" customWidth="1"/>
    <col min="8960" max="8960" width="11.08984375" style="8" bestFit="1" customWidth="1"/>
    <col min="8961" max="9214" width="8.90625" style="8"/>
    <col min="9215" max="9215" width="22.1796875" style="8" customWidth="1"/>
    <col min="9216" max="9216" width="11.08984375" style="8" bestFit="1" customWidth="1"/>
    <col min="9217" max="9470" width="8.90625" style="8"/>
    <col min="9471" max="9471" width="22.1796875" style="8" customWidth="1"/>
    <col min="9472" max="9472" width="11.08984375" style="8" bestFit="1" customWidth="1"/>
    <col min="9473" max="9726" width="8.90625" style="8"/>
    <col min="9727" max="9727" width="22.1796875" style="8" customWidth="1"/>
    <col min="9728" max="9728" width="11.08984375" style="8" bestFit="1" customWidth="1"/>
    <col min="9729" max="9982" width="8.90625" style="8"/>
    <col min="9983" max="9983" width="22.1796875" style="8" customWidth="1"/>
    <col min="9984" max="9984" width="11.08984375" style="8" bestFit="1" customWidth="1"/>
    <col min="9985" max="10238" width="8.90625" style="8"/>
    <col min="10239" max="10239" width="22.1796875" style="8" customWidth="1"/>
    <col min="10240" max="10240" width="11.08984375" style="8" bestFit="1" customWidth="1"/>
    <col min="10241" max="10494" width="8.90625" style="8"/>
    <col min="10495" max="10495" width="22.1796875" style="8" customWidth="1"/>
    <col min="10496" max="10496" width="11.08984375" style="8" bestFit="1" customWidth="1"/>
    <col min="10497" max="10750" width="8.90625" style="8"/>
    <col min="10751" max="10751" width="22.1796875" style="8" customWidth="1"/>
    <col min="10752" max="10752" width="11.08984375" style="8" bestFit="1" customWidth="1"/>
    <col min="10753" max="11006" width="8.90625" style="8"/>
    <col min="11007" max="11007" width="22.1796875" style="8" customWidth="1"/>
    <col min="11008" max="11008" width="11.08984375" style="8" bestFit="1" customWidth="1"/>
    <col min="11009" max="11262" width="8.90625" style="8"/>
    <col min="11263" max="11263" width="22.1796875" style="8" customWidth="1"/>
    <col min="11264" max="11264" width="11.08984375" style="8" bestFit="1" customWidth="1"/>
    <col min="11265" max="11518" width="8.90625" style="8"/>
    <col min="11519" max="11519" width="22.1796875" style="8" customWidth="1"/>
    <col min="11520" max="11520" width="11.08984375" style="8" bestFit="1" customWidth="1"/>
    <col min="11521" max="11774" width="8.90625" style="8"/>
    <col min="11775" max="11775" width="22.1796875" style="8" customWidth="1"/>
    <col min="11776" max="11776" width="11.08984375" style="8" bestFit="1" customWidth="1"/>
    <col min="11777" max="12030" width="8.90625" style="8"/>
    <col min="12031" max="12031" width="22.1796875" style="8" customWidth="1"/>
    <col min="12032" max="12032" width="11.08984375" style="8" bestFit="1" customWidth="1"/>
    <col min="12033" max="12286" width="8.90625" style="8"/>
    <col min="12287" max="12287" width="22.1796875" style="8" customWidth="1"/>
    <col min="12288" max="12288" width="11.08984375" style="8" bestFit="1" customWidth="1"/>
    <col min="12289" max="12542" width="8.90625" style="8"/>
    <col min="12543" max="12543" width="22.1796875" style="8" customWidth="1"/>
    <col min="12544" max="12544" width="11.08984375" style="8" bestFit="1" customWidth="1"/>
    <col min="12545" max="12798" width="8.90625" style="8"/>
    <col min="12799" max="12799" width="22.1796875" style="8" customWidth="1"/>
    <col min="12800" max="12800" width="11.08984375" style="8" bestFit="1" customWidth="1"/>
    <col min="12801" max="13054" width="8.90625" style="8"/>
    <col min="13055" max="13055" width="22.1796875" style="8" customWidth="1"/>
    <col min="13056" max="13056" width="11.08984375" style="8" bestFit="1" customWidth="1"/>
    <col min="13057" max="13310" width="8.90625" style="8"/>
    <col min="13311" max="13311" width="22.1796875" style="8" customWidth="1"/>
    <col min="13312" max="13312" width="11.08984375" style="8" bestFit="1" customWidth="1"/>
    <col min="13313" max="13566" width="8.90625" style="8"/>
    <col min="13567" max="13567" width="22.1796875" style="8" customWidth="1"/>
    <col min="13568" max="13568" width="11.08984375" style="8" bestFit="1" customWidth="1"/>
    <col min="13569" max="13822" width="8.90625" style="8"/>
    <col min="13823" max="13823" width="22.1796875" style="8" customWidth="1"/>
    <col min="13824" max="13824" width="11.08984375" style="8" bestFit="1" customWidth="1"/>
    <col min="13825" max="14078" width="8.90625" style="8"/>
    <col min="14079" max="14079" width="22.1796875" style="8" customWidth="1"/>
    <col min="14080" max="14080" width="11.08984375" style="8" bestFit="1" customWidth="1"/>
    <col min="14081" max="14334" width="8.90625" style="8"/>
    <col min="14335" max="14335" width="22.1796875" style="8" customWidth="1"/>
    <col min="14336" max="14336" width="11.08984375" style="8" bestFit="1" customWidth="1"/>
    <col min="14337" max="14590" width="8.90625" style="8"/>
    <col min="14591" max="14591" width="22.1796875" style="8" customWidth="1"/>
    <col min="14592" max="14592" width="11.08984375" style="8" bestFit="1" customWidth="1"/>
    <col min="14593" max="14846" width="8.90625" style="8"/>
    <col min="14847" max="14847" width="22.1796875" style="8" customWidth="1"/>
    <col min="14848" max="14848" width="11.08984375" style="8" bestFit="1" customWidth="1"/>
    <col min="14849" max="15102" width="8.90625" style="8"/>
    <col min="15103" max="15103" width="22.1796875" style="8" customWidth="1"/>
    <col min="15104" max="15104" width="11.08984375" style="8" bestFit="1" customWidth="1"/>
    <col min="15105" max="15358" width="8.90625" style="8"/>
    <col min="15359" max="15359" width="22.1796875" style="8" customWidth="1"/>
    <col min="15360" max="15360" width="11.08984375" style="8" bestFit="1" customWidth="1"/>
    <col min="15361" max="15614" width="8.90625" style="8"/>
    <col min="15615" max="15615" width="22.1796875" style="8" customWidth="1"/>
    <col min="15616" max="15616" width="11.08984375" style="8" bestFit="1" customWidth="1"/>
    <col min="15617" max="15870" width="8.90625" style="8"/>
    <col min="15871" max="15871" width="22.1796875" style="8" customWidth="1"/>
    <col min="15872" max="15872" width="11.08984375" style="8" bestFit="1" customWidth="1"/>
    <col min="15873" max="16126" width="8.90625" style="8"/>
    <col min="16127" max="16127" width="22.1796875" style="8" customWidth="1"/>
    <col min="16128" max="16128" width="11.08984375" style="8" bestFit="1" customWidth="1"/>
    <col min="16129" max="16384" width="8.90625" style="8"/>
  </cols>
  <sheetData>
    <row r="1" spans="1:2" x14ac:dyDescent="0.3">
      <c r="A1" s="187" t="s">
        <v>5</v>
      </c>
    </row>
    <row r="2" spans="1:2" x14ac:dyDescent="0.3">
      <c r="A2" s="182" t="s">
        <v>201</v>
      </c>
    </row>
    <row r="3" spans="1:2" x14ac:dyDescent="0.3">
      <c r="A3" s="182"/>
    </row>
    <row r="4" spans="1:2" x14ac:dyDescent="0.3">
      <c r="A4" s="180" t="s">
        <v>137</v>
      </c>
    </row>
    <row r="5" spans="1:2" x14ac:dyDescent="0.3">
      <c r="A5" s="8" t="s">
        <v>138</v>
      </c>
      <c r="B5" s="231">
        <v>0</v>
      </c>
    </row>
    <row r="6" spans="1:2" x14ac:dyDescent="0.3">
      <c r="A6" s="317" t="s">
        <v>209</v>
      </c>
      <c r="B6" s="231">
        <f>200*B14</f>
        <v>4000</v>
      </c>
    </row>
    <row r="7" spans="1:2" x14ac:dyDescent="0.3">
      <c r="A7" s="316" t="s">
        <v>139</v>
      </c>
      <c r="B7" s="231">
        <f>7*300</f>
        <v>2100</v>
      </c>
    </row>
    <row r="8" spans="1:2" x14ac:dyDescent="0.3">
      <c r="A8" s="316" t="s">
        <v>208</v>
      </c>
      <c r="B8" s="232">
        <f>SUM(B6:B7)/2</f>
        <v>3050</v>
      </c>
    </row>
    <row r="9" spans="1:2" x14ac:dyDescent="0.3">
      <c r="A9" s="180" t="s">
        <v>140</v>
      </c>
      <c r="B9" s="233">
        <f>SUM(B5:B8)</f>
        <v>9150</v>
      </c>
    </row>
    <row r="10" spans="1:2" x14ac:dyDescent="0.3">
      <c r="A10" s="180"/>
      <c r="B10" s="233"/>
    </row>
    <row r="11" spans="1:2" x14ac:dyDescent="0.3">
      <c r="A11" s="234" t="s">
        <v>199</v>
      </c>
      <c r="B11" s="235">
        <v>5251</v>
      </c>
    </row>
    <row r="12" spans="1:2" x14ac:dyDescent="0.3">
      <c r="A12" s="180" t="s">
        <v>141</v>
      </c>
      <c r="B12" s="236">
        <f>B9*B11</f>
        <v>48046650</v>
      </c>
    </row>
    <row r="13" spans="1:2" x14ac:dyDescent="0.3">
      <c r="A13" s="180"/>
      <c r="B13" s="236"/>
    </row>
    <row r="14" spans="1:2" x14ac:dyDescent="0.3">
      <c r="A14" s="179" t="s">
        <v>7</v>
      </c>
      <c r="B14" s="235">
        <v>20</v>
      </c>
    </row>
    <row r="15" spans="1:2" x14ac:dyDescent="0.3">
      <c r="A15" s="180" t="s">
        <v>142</v>
      </c>
      <c r="B15" s="236">
        <f>B12/B14</f>
        <v>2402332.5</v>
      </c>
    </row>
    <row r="17" spans="1:2" x14ac:dyDescent="0.3">
      <c r="A17" s="234" t="s">
        <v>198</v>
      </c>
      <c r="B17" s="237">
        <v>5251</v>
      </c>
    </row>
    <row r="18" spans="1:2" x14ac:dyDescent="0.3">
      <c r="A18" s="234"/>
      <c r="B18" s="237"/>
    </row>
    <row r="19" spans="1:2" x14ac:dyDescent="0.3">
      <c r="A19" s="319" t="s">
        <v>143</v>
      </c>
      <c r="B19" s="320">
        <f>B15/B17</f>
        <v>457.5</v>
      </c>
    </row>
    <row r="22" spans="1:2" x14ac:dyDescent="0.3">
      <c r="A22" s="180" t="s">
        <v>197</v>
      </c>
    </row>
    <row r="23" spans="1:2" x14ac:dyDescent="0.3">
      <c r="A23" s="318" t="s">
        <v>213</v>
      </c>
    </row>
    <row r="24" spans="1:2" x14ac:dyDescent="0.3">
      <c r="A24" s="318" t="s">
        <v>217</v>
      </c>
    </row>
    <row r="25" spans="1:2" x14ac:dyDescent="0.3">
      <c r="A25" s="318" t="s">
        <v>218</v>
      </c>
    </row>
    <row r="26" spans="1:2" x14ac:dyDescent="0.3">
      <c r="A26" s="315"/>
    </row>
    <row r="27" spans="1:2" x14ac:dyDescent="0.3">
      <c r="A27" s="318" t="s">
        <v>214</v>
      </c>
    </row>
    <row r="28" spans="1:2" x14ac:dyDescent="0.3">
      <c r="A28" s="318" t="s">
        <v>215</v>
      </c>
    </row>
    <row r="29" spans="1:2" x14ac:dyDescent="0.3">
      <c r="A29" s="318" t="s">
        <v>216</v>
      </c>
    </row>
    <row r="30" spans="1:2" x14ac:dyDescent="0.3">
      <c r="A30" s="315"/>
    </row>
    <row r="31" spans="1:2" x14ac:dyDescent="0.3">
      <c r="A31" s="318" t="s">
        <v>210</v>
      </c>
    </row>
    <row r="33" spans="1:1" x14ac:dyDescent="0.3">
      <c r="A33" s="318" t="s">
        <v>212</v>
      </c>
    </row>
    <row r="34" spans="1:1" x14ac:dyDescent="0.3">
      <c r="A34" s="315"/>
    </row>
    <row r="35" spans="1:1" x14ac:dyDescent="0.3">
      <c r="A35" s="318" t="s">
        <v>211</v>
      </c>
    </row>
    <row r="36" spans="1:1" x14ac:dyDescent="0.3">
      <c r="A36" s="318"/>
    </row>
  </sheetData>
  <pageMargins left="0.1" right="0.1" top="1" bottom="1" header="0.5" footer="0.5"/>
  <pageSetup orientation="portrait" r:id="rId1"/>
  <headerFooter>
    <oddHeader>&amp;CCape Cod Commission
Section 208 Plan Update
Cost/Revenue Model
&amp;R&amp;A</oddHeader>
    <oddFooter>&amp;F&amp;RPage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7">
    <pageSetUpPr fitToPage="1"/>
  </sheetPr>
  <dimension ref="A1:I145"/>
  <sheetViews>
    <sheetView zoomScale="80" zoomScaleNormal="80" workbookViewId="0">
      <selection activeCell="D45" sqref="D45"/>
    </sheetView>
  </sheetViews>
  <sheetFormatPr defaultColWidth="8.90625" defaultRowHeight="15" x14ac:dyDescent="0.25"/>
  <cols>
    <col min="1" max="1" width="40.90625" style="260" customWidth="1"/>
    <col min="2" max="2" width="15.81640625" style="260" customWidth="1"/>
    <col min="3" max="4" width="14.81640625" style="260" customWidth="1"/>
    <col min="5" max="7" width="15.453125" style="260" customWidth="1"/>
    <col min="8" max="8" width="15.81640625" style="260" customWidth="1"/>
    <col min="9" max="9" width="15.1796875" style="260" hidden="1" customWidth="1"/>
    <col min="10" max="16384" width="8.90625" style="260"/>
  </cols>
  <sheetData>
    <row r="1" spans="1:9" ht="17.399999999999999" x14ac:dyDescent="0.3">
      <c r="A1" s="420" t="s">
        <v>201</v>
      </c>
      <c r="B1" s="420"/>
      <c r="C1" s="420"/>
      <c r="D1" s="420"/>
      <c r="E1" s="420"/>
      <c r="F1" s="420"/>
      <c r="G1" s="420"/>
      <c r="H1" s="420"/>
    </row>
    <row r="2" spans="1:9" ht="17.399999999999999" x14ac:dyDescent="0.3">
      <c r="A2" s="420" t="s">
        <v>200</v>
      </c>
      <c r="B2" s="420"/>
      <c r="C2" s="420"/>
      <c r="D2" s="420"/>
      <c r="E2" s="420"/>
      <c r="F2" s="420"/>
      <c r="G2" s="420"/>
      <c r="H2" s="420"/>
    </row>
    <row r="3" spans="1:9" ht="17.399999999999999" x14ac:dyDescent="0.3">
      <c r="A3" s="421" t="s">
        <v>155</v>
      </c>
      <c r="B3" s="421"/>
      <c r="C3" s="421"/>
      <c r="D3" s="421"/>
      <c r="E3" s="421"/>
      <c r="F3" s="421"/>
      <c r="G3" s="421"/>
      <c r="H3" s="421"/>
    </row>
    <row r="4" spans="1:9" ht="24.75" customHeight="1" x14ac:dyDescent="0.25">
      <c r="A4" s="422" t="s">
        <v>156</v>
      </c>
      <c r="B4" s="422"/>
      <c r="C4" s="422"/>
      <c r="D4" s="422"/>
      <c r="E4" s="422"/>
      <c r="F4" s="422"/>
      <c r="G4" s="422"/>
      <c r="H4" s="422"/>
    </row>
    <row r="5" spans="1:9" ht="6.75" customHeight="1" x14ac:dyDescent="0.25"/>
    <row r="6" spans="1:9" ht="15.6" x14ac:dyDescent="0.3">
      <c r="B6" s="423" t="s">
        <v>157</v>
      </c>
      <c r="C6" s="423"/>
      <c r="D6" s="423"/>
      <c r="E6" s="423"/>
      <c r="F6" s="423"/>
      <c r="G6" s="423"/>
      <c r="H6" s="423"/>
    </row>
    <row r="7" spans="1:9" ht="15.6" x14ac:dyDescent="0.3">
      <c r="B7" s="261" t="s">
        <v>219</v>
      </c>
      <c r="C7" s="261" t="s">
        <v>158</v>
      </c>
      <c r="D7" s="261" t="s">
        <v>159</v>
      </c>
      <c r="E7" s="261" t="s">
        <v>160</v>
      </c>
      <c r="F7" s="261" t="s">
        <v>161</v>
      </c>
      <c r="G7" s="261" t="s">
        <v>162</v>
      </c>
      <c r="H7" s="261" t="s">
        <v>163</v>
      </c>
    </row>
    <row r="8" spans="1:9" ht="87.75" customHeight="1" x14ac:dyDescent="0.25">
      <c r="A8" s="262" t="s">
        <v>164</v>
      </c>
      <c r="B8" s="263" t="s">
        <v>220</v>
      </c>
      <c r="C8" s="263" t="str">
        <f>"Case 1 with       "&amp;TEXT(C9,"0%")&amp;" Betterments  "</f>
        <v xml:space="preserve">Case 1 with       20% Betterments  </v>
      </c>
      <c r="D8" s="263" t="str">
        <f>"Case 1 with       "&amp;TEXT(D9,"0%")&amp;" Betterments  "</f>
        <v xml:space="preserve">Case 1 with       80% Betterments  </v>
      </c>
      <c r="E8" s="263" t="str">
        <f>"Case 1 with "&amp;TEXT(E9,"0%")&amp;" Betterments                  (Users pay for WW solutions in their area only)"</f>
        <v>Case 1 with 100% Betterments                  (Users pay for WW solutions in their area only)</v>
      </c>
      <c r="F8" s="263" t="str">
        <f>"  "&amp;TEXT(F9,"0%")&amp;" Betterments  "&amp;TEXT(F11,"0%")&amp;" "&amp;TEXT(F10,"0")&amp;"-year SRF"</f>
        <v xml:space="preserve">  20% Betterments  0% 20-year SRF</v>
      </c>
      <c r="G8" s="263" t="str">
        <f>"  "&amp;TEXT(G9,"0%")&amp;" Betterments  "&amp;TEXT(G11,"0%")&amp;" "&amp;TEXT(G10,"0")&amp;"-year SRF    Septage Revenue"</f>
        <v xml:space="preserve">  20% Betterments  0% 20-year SRF    Septage Revenue</v>
      </c>
      <c r="H8" s="263" t="str">
        <f>"  "&amp;TEXT(H9,"0%")&amp;" Betterments  "&amp;TEXT(H11,"0%")&amp;" "&amp;TEXT(H10,"0")&amp;"-year SRF    Septage Revenue     25% Grant"</f>
        <v xml:space="preserve">  20% Betterments  0% 20-year SRF    Septage Revenue     25% Grant</v>
      </c>
      <c r="I8" s="264" t="s">
        <v>165</v>
      </c>
    </row>
    <row r="9" spans="1:9" ht="22.95" customHeight="1" x14ac:dyDescent="0.3">
      <c r="A9" s="265" t="s">
        <v>166</v>
      </c>
      <c r="B9" s="266">
        <v>0</v>
      </c>
      <c r="C9" s="266">
        <v>0.2</v>
      </c>
      <c r="D9" s="266">
        <v>0.8</v>
      </c>
      <c r="E9" s="266">
        <v>1</v>
      </c>
      <c r="F9" s="266">
        <v>0.2</v>
      </c>
      <c r="G9" s="266">
        <v>0.2</v>
      </c>
      <c r="H9" s="266">
        <v>0.2</v>
      </c>
      <c r="I9" s="267"/>
    </row>
    <row r="10" spans="1:9" ht="22.95" customHeight="1" x14ac:dyDescent="0.3">
      <c r="A10" s="265" t="s">
        <v>167</v>
      </c>
      <c r="B10" s="265">
        <v>20</v>
      </c>
      <c r="C10" s="265">
        <v>20</v>
      </c>
      <c r="D10" s="265">
        <v>20</v>
      </c>
      <c r="E10" s="265">
        <v>20</v>
      </c>
      <c r="F10" s="265">
        <v>20</v>
      </c>
      <c r="G10" s="265">
        <v>20</v>
      </c>
      <c r="H10" s="265">
        <v>20</v>
      </c>
      <c r="I10" s="267"/>
    </row>
    <row r="11" spans="1:9" ht="22.95" customHeight="1" x14ac:dyDescent="0.3">
      <c r="A11" s="265" t="s">
        <v>168</v>
      </c>
      <c r="B11" s="266">
        <v>0.02</v>
      </c>
      <c r="C11" s="266">
        <v>0.02</v>
      </c>
      <c r="D11" s="266">
        <v>0.02</v>
      </c>
      <c r="E11" s="266">
        <v>0.02</v>
      </c>
      <c r="F11" s="266">
        <v>0</v>
      </c>
      <c r="G11" s="266">
        <v>0</v>
      </c>
      <c r="H11" s="266">
        <v>0</v>
      </c>
      <c r="I11" s="267"/>
    </row>
    <row r="12" spans="1:9" ht="22.95" customHeight="1" x14ac:dyDescent="0.3">
      <c r="A12" s="265" t="s">
        <v>169</v>
      </c>
      <c r="B12" s="266">
        <v>0</v>
      </c>
      <c r="C12" s="266">
        <v>0</v>
      </c>
      <c r="D12" s="266">
        <v>0</v>
      </c>
      <c r="E12" s="266">
        <v>0</v>
      </c>
      <c r="F12" s="266">
        <v>0</v>
      </c>
      <c r="G12" s="266">
        <v>0</v>
      </c>
      <c r="H12" s="266">
        <v>0.25</v>
      </c>
      <c r="I12" s="267"/>
    </row>
    <row r="13" spans="1:9" ht="22.95" customHeight="1" x14ac:dyDescent="0.3">
      <c r="A13" s="265" t="s">
        <v>170</v>
      </c>
      <c r="B13" s="269">
        <v>0</v>
      </c>
      <c r="C13" s="269">
        <v>0</v>
      </c>
      <c r="D13" s="269">
        <v>0</v>
      </c>
      <c r="E13" s="269">
        <v>0</v>
      </c>
      <c r="F13" s="269">
        <v>0</v>
      </c>
      <c r="G13" s="270">
        <f>B139</f>
        <v>584000</v>
      </c>
      <c r="H13" s="270">
        <f>B139</f>
        <v>584000</v>
      </c>
      <c r="I13" s="267"/>
    </row>
    <row r="14" spans="1:9" ht="11.25" customHeight="1" x14ac:dyDescent="0.3">
      <c r="A14" s="271"/>
      <c r="B14" s="272"/>
      <c r="C14" s="272"/>
      <c r="D14" s="272"/>
      <c r="E14" s="272"/>
      <c r="F14" s="272"/>
      <c r="G14" s="272"/>
      <c r="H14" s="272"/>
      <c r="I14" s="273"/>
    </row>
    <row r="15" spans="1:9" ht="22.2" customHeight="1" x14ac:dyDescent="0.3">
      <c r="A15" s="274" t="s">
        <v>237</v>
      </c>
      <c r="B15" s="270" t="e">
        <f>SUM('Program Summary'!#REF!)</f>
        <v>#REF!</v>
      </c>
      <c r="C15" s="270" t="e">
        <f>SUM('Program Summary'!#REF!)</f>
        <v>#REF!</v>
      </c>
      <c r="D15" s="270">
        <f>+'[4]Case 3'!F81</f>
        <v>182791015</v>
      </c>
      <c r="E15" s="270">
        <f>+'[4]Case 4'!F81</f>
        <v>143758834.33333331</v>
      </c>
      <c r="F15" s="270">
        <f>+'[4]Case 5'!C97</f>
        <v>143758834.33333331</v>
      </c>
      <c r="G15" s="270">
        <f>+'[4]Case 6'!F81</f>
        <v>143758834.33333331</v>
      </c>
      <c r="H15" s="270">
        <f>+'[4]Case 7'!F81</f>
        <v>207381288.81999999</v>
      </c>
      <c r="I15" s="267"/>
    </row>
    <row r="16" spans="1:9" ht="21.6" hidden="1" customHeight="1" x14ac:dyDescent="0.3">
      <c r="A16" s="274" t="s">
        <v>171</v>
      </c>
      <c r="B16" s="276">
        <v>0</v>
      </c>
      <c r="C16" s="276">
        <v>0</v>
      </c>
      <c r="D16" s="276">
        <v>0</v>
      </c>
      <c r="E16" s="276">
        <v>0</v>
      </c>
      <c r="F16" s="276">
        <v>0</v>
      </c>
      <c r="G16" s="276">
        <v>0</v>
      </c>
      <c r="H16" s="276">
        <v>0</v>
      </c>
      <c r="I16" s="267"/>
    </row>
    <row r="17" spans="1:9" ht="21.6" hidden="1" customHeight="1" x14ac:dyDescent="0.3">
      <c r="A17" s="274" t="s">
        <v>238</v>
      </c>
      <c r="B17" s="270" t="e">
        <f>+B15-B16</f>
        <v>#REF!</v>
      </c>
      <c r="C17" s="270" t="e">
        <f t="shared" ref="C17:H17" si="0">+C15-C16</f>
        <v>#REF!</v>
      </c>
      <c r="D17" s="270">
        <f t="shared" si="0"/>
        <v>182791015</v>
      </c>
      <c r="E17" s="270">
        <f t="shared" si="0"/>
        <v>143758834.33333331</v>
      </c>
      <c r="F17" s="270">
        <f t="shared" si="0"/>
        <v>143758834.33333331</v>
      </c>
      <c r="G17" s="270">
        <f t="shared" si="0"/>
        <v>143758834.33333331</v>
      </c>
      <c r="H17" s="270">
        <f t="shared" si="0"/>
        <v>207381288.81999999</v>
      </c>
      <c r="I17" s="267"/>
    </row>
    <row r="18" spans="1:9" ht="11.25" customHeight="1" x14ac:dyDescent="0.3">
      <c r="A18" s="271"/>
      <c r="B18" s="272"/>
      <c r="C18" s="272"/>
      <c r="D18" s="272"/>
      <c r="E18" s="272"/>
      <c r="F18" s="272"/>
      <c r="G18" s="272"/>
      <c r="H18" s="272"/>
      <c r="I18" s="273"/>
    </row>
    <row r="19" spans="1:9" ht="17.399999999999999" customHeight="1" x14ac:dyDescent="0.3">
      <c r="A19" s="274" t="s">
        <v>239</v>
      </c>
      <c r="B19" s="276"/>
      <c r="C19" s="276"/>
      <c r="D19" s="276"/>
      <c r="E19" s="276"/>
      <c r="F19" s="276"/>
      <c r="G19" s="276"/>
      <c r="H19" s="276"/>
      <c r="I19" s="267"/>
    </row>
    <row r="20" spans="1:9" ht="20.399999999999999" customHeight="1" x14ac:dyDescent="0.3">
      <c r="A20" s="277" t="s">
        <v>240</v>
      </c>
      <c r="B20" s="276">
        <f>'[5]Program Summary Case 1'!$C16</f>
        <v>39269000</v>
      </c>
      <c r="C20" s="276">
        <f>'[5]Program Summary Case 2'!$C16</f>
        <v>39269000</v>
      </c>
      <c r="D20" s="276">
        <f>'[5]Program Summary Case 3'!$C16</f>
        <v>39269000</v>
      </c>
      <c r="E20" s="276">
        <f>'[5]Program Summary Case 4'!$C16</f>
        <v>39269000</v>
      </c>
      <c r="F20" s="276">
        <f>'[5]Program Summary Case 5'!$C16</f>
        <v>39269000</v>
      </c>
      <c r="G20" s="276">
        <f>'[5]Program Summary Case 6'!$C16</f>
        <v>39269000</v>
      </c>
      <c r="H20" s="276">
        <f>'[5]Program Summary Case 7'!$C16</f>
        <v>29451750</v>
      </c>
      <c r="I20" s="267"/>
    </row>
    <row r="21" spans="1:9" ht="20.399999999999999" customHeight="1" x14ac:dyDescent="0.3">
      <c r="A21" s="277" t="s">
        <v>241</v>
      </c>
      <c r="B21" s="276">
        <f>'[5]Program Summary Case 1'!$C22</f>
        <v>27903600</v>
      </c>
      <c r="C21" s="276">
        <f>'[5]Program Summary Case 2'!$C22</f>
        <v>27903600</v>
      </c>
      <c r="D21" s="276">
        <f>'[5]Program Summary Case 3'!$C22</f>
        <v>27903600</v>
      </c>
      <c r="E21" s="276">
        <f>'[5]Program Summary Case 4'!$C22</f>
        <v>27903600</v>
      </c>
      <c r="F21" s="276">
        <f>'[5]Program Summary Case 5'!$C22</f>
        <v>27903600</v>
      </c>
      <c r="G21" s="276">
        <f>'[5]Program Summary Case 6'!$C22</f>
        <v>27903600</v>
      </c>
      <c r="H21" s="276">
        <f>'[5]Program Summary Case 7'!$C22</f>
        <v>20927700</v>
      </c>
      <c r="I21" s="267"/>
    </row>
    <row r="22" spans="1:9" ht="20.25" customHeight="1" x14ac:dyDescent="0.3">
      <c r="A22" s="277" t="s">
        <v>242</v>
      </c>
      <c r="B22" s="276">
        <f>'[5]Program Summary Case 1'!$C49</f>
        <v>20544800</v>
      </c>
      <c r="C22" s="276">
        <f>'[5]Program Summary Case 2'!$C49</f>
        <v>20544800</v>
      </c>
      <c r="D22" s="276">
        <f>'[5]Program Summary Case 3'!$C49</f>
        <v>20544800</v>
      </c>
      <c r="E22" s="276">
        <f>'[5]Program Summary Case 4'!$C49</f>
        <v>20544800</v>
      </c>
      <c r="F22" s="276">
        <f>'[5]Program Summary Case 5'!$C49</f>
        <v>20544800</v>
      </c>
      <c r="G22" s="276">
        <f>'[5]Program Summary Case 6'!$C49</f>
        <v>20544800</v>
      </c>
      <c r="H22" s="276">
        <f>'[5]Program Summary Case 7'!$C49</f>
        <v>15408600</v>
      </c>
      <c r="I22" s="267"/>
    </row>
    <row r="23" spans="1:9" ht="20.25" hidden="1" customHeight="1" x14ac:dyDescent="0.3">
      <c r="A23" s="338" t="s">
        <v>4</v>
      </c>
      <c r="B23" s="270">
        <f>SUM(B20:B22)</f>
        <v>87717400</v>
      </c>
      <c r="C23" s="270">
        <f t="shared" ref="C23:H23" si="1">SUM(C20:C22)</f>
        <v>87717400</v>
      </c>
      <c r="D23" s="270">
        <f t="shared" si="1"/>
        <v>87717400</v>
      </c>
      <c r="E23" s="270">
        <f t="shared" si="1"/>
        <v>87717400</v>
      </c>
      <c r="F23" s="270">
        <f t="shared" si="1"/>
        <v>87717400</v>
      </c>
      <c r="G23" s="270">
        <f t="shared" si="1"/>
        <v>87717400</v>
      </c>
      <c r="H23" s="270">
        <f t="shared" si="1"/>
        <v>65788050</v>
      </c>
      <c r="I23" s="267"/>
    </row>
    <row r="24" spans="1:9" ht="11.25" hidden="1" customHeight="1" x14ac:dyDescent="0.3">
      <c r="A24" s="271"/>
      <c r="B24" s="272"/>
      <c r="C24" s="272"/>
      <c r="D24" s="272"/>
      <c r="E24" s="272"/>
      <c r="F24" s="272"/>
      <c r="G24" s="272"/>
      <c r="H24" s="272"/>
      <c r="I24" s="273"/>
    </row>
    <row r="25" spans="1:9" ht="17.399999999999999" hidden="1" customHeight="1" x14ac:dyDescent="0.3">
      <c r="A25" s="274" t="s">
        <v>243</v>
      </c>
      <c r="B25" s="276"/>
      <c r="C25" s="276"/>
      <c r="D25" s="276"/>
      <c r="E25" s="276"/>
      <c r="F25" s="276"/>
      <c r="G25" s="276"/>
      <c r="H25" s="276"/>
      <c r="I25" s="267"/>
    </row>
    <row r="26" spans="1:9" ht="20.399999999999999" hidden="1" customHeight="1" x14ac:dyDescent="0.3">
      <c r="A26" s="277" t="s">
        <v>240</v>
      </c>
      <c r="B26" s="276">
        <f>'[5]Program Summary Case 1'!$D16</f>
        <v>8246490</v>
      </c>
      <c r="C26" s="276">
        <f>'[5]Program Summary Case 2'!$D16</f>
        <v>8246490</v>
      </c>
      <c r="D26" s="276">
        <f>'[5]Program Summary Case 3'!$D16</f>
        <v>8246490</v>
      </c>
      <c r="E26" s="276">
        <f>'[5]Program Summary Case 4'!$D16</f>
        <v>8246490</v>
      </c>
      <c r="F26" s="276">
        <f>'[5]Program Summary Case 5'!$D16</f>
        <v>913004.24999999988</v>
      </c>
      <c r="G26" s="276">
        <f>'[5]Program Summary Case 6'!$D16</f>
        <v>913004.24999999988</v>
      </c>
      <c r="H26" s="276">
        <f>'[5]Program Summary Case 7'!$D16</f>
        <v>684753.18749999988</v>
      </c>
      <c r="I26" s="267"/>
    </row>
    <row r="27" spans="1:9" ht="20.399999999999999" hidden="1" customHeight="1" x14ac:dyDescent="0.3">
      <c r="A27" s="277" t="s">
        <v>241</v>
      </c>
      <c r="B27" s="276">
        <f>'[5]Program Summary Case 1'!$D22</f>
        <v>5859756</v>
      </c>
      <c r="C27" s="276">
        <f>'[5]Program Summary Case 2'!$D22</f>
        <v>5859756</v>
      </c>
      <c r="D27" s="276">
        <f>'[5]Program Summary Case 3'!$D22</f>
        <v>5859756</v>
      </c>
      <c r="E27" s="276">
        <f>'[5]Program Summary Case 4'!$D22</f>
        <v>5859756</v>
      </c>
      <c r="F27" s="276">
        <f>'[5]Program Summary Case 5'!$D22</f>
        <v>648758.69999999984</v>
      </c>
      <c r="G27" s="276">
        <f>'[5]Program Summary Case 6'!$D22</f>
        <v>648758.69999999984</v>
      </c>
      <c r="H27" s="276">
        <f>'[5]Program Summary Case 7'!$D22</f>
        <v>486569.02499999991</v>
      </c>
      <c r="I27" s="267"/>
    </row>
    <row r="28" spans="1:9" ht="20.25" hidden="1" customHeight="1" x14ac:dyDescent="0.3">
      <c r="A28" s="277" t="s">
        <v>242</v>
      </c>
      <c r="B28" s="276">
        <f>'[5]Program Summary Case 1'!$D49</f>
        <v>4314408</v>
      </c>
      <c r="C28" s="276">
        <f>'[5]Program Summary Case 2'!$D49</f>
        <v>4314408</v>
      </c>
      <c r="D28" s="276">
        <f>'[5]Program Summary Case 3'!$D49</f>
        <v>4314408</v>
      </c>
      <c r="E28" s="276">
        <f>'[5]Program Summary Case 4'!$D49</f>
        <v>4314408</v>
      </c>
      <c r="F28" s="276">
        <f>'[5]Program Summary Case 5'!$D49</f>
        <v>477666.6</v>
      </c>
      <c r="G28" s="276">
        <f>'[5]Program Summary Case 6'!$D49</f>
        <v>477666.6</v>
      </c>
      <c r="H28" s="276">
        <f>'[5]Program Summary Case 7'!$D49</f>
        <v>358249.95</v>
      </c>
      <c r="I28" s="267"/>
    </row>
    <row r="29" spans="1:9" ht="20.25" hidden="1" customHeight="1" x14ac:dyDescent="0.3">
      <c r="A29" s="338" t="s">
        <v>4</v>
      </c>
      <c r="B29" s="270">
        <f>SUM(B26:B28)</f>
        <v>18420654</v>
      </c>
      <c r="C29" s="270">
        <f t="shared" ref="C29:H29" si="2">SUM(C26:C28)</f>
        <v>18420654</v>
      </c>
      <c r="D29" s="270">
        <f t="shared" si="2"/>
        <v>18420654</v>
      </c>
      <c r="E29" s="270">
        <f t="shared" si="2"/>
        <v>18420654</v>
      </c>
      <c r="F29" s="270">
        <f t="shared" si="2"/>
        <v>2039429.5499999998</v>
      </c>
      <c r="G29" s="270">
        <f t="shared" si="2"/>
        <v>2039429.5499999998</v>
      </c>
      <c r="H29" s="270">
        <f t="shared" si="2"/>
        <v>1529572.1624999999</v>
      </c>
      <c r="I29" s="267"/>
    </row>
    <row r="30" spans="1:9" ht="11.25" hidden="1" customHeight="1" x14ac:dyDescent="0.3">
      <c r="A30" s="271"/>
      <c r="B30" s="272"/>
      <c r="C30" s="272"/>
      <c r="D30" s="272"/>
      <c r="E30" s="272"/>
      <c r="F30" s="272"/>
      <c r="G30" s="272"/>
      <c r="H30" s="272"/>
      <c r="I30" s="273"/>
    </row>
    <row r="31" spans="1:9" ht="17.399999999999999" hidden="1" customHeight="1" x14ac:dyDescent="0.3">
      <c r="A31" s="274" t="s">
        <v>244</v>
      </c>
      <c r="B31" s="276"/>
      <c r="C31" s="276"/>
      <c r="D31" s="276"/>
      <c r="E31" s="276"/>
      <c r="F31" s="276"/>
      <c r="G31" s="276"/>
      <c r="H31" s="276"/>
      <c r="I31" s="267"/>
    </row>
    <row r="32" spans="1:9" ht="20.399999999999999" hidden="1" customHeight="1" x14ac:dyDescent="0.3">
      <c r="A32" s="277" t="s">
        <v>240</v>
      </c>
      <c r="B32" s="276">
        <f>'[5]Program Summary Case 1'!$E16+'[5]Program Summary Case 1'!$F16+'[5]Program Summary Case 1'!$G16</f>
        <v>2404400</v>
      </c>
      <c r="C32" s="276">
        <f>'[5]Program Summary Case 2'!$E16+'[5]Program Summary Case 2'!$F16+'[5]Program Summary Case 2'!$G16</f>
        <v>2404400</v>
      </c>
      <c r="D32" s="276">
        <f>'[5]Program Summary Case 3'!$E16+'[5]Program Summary Case 3'!$F16+'[5]Program Summary Case 3'!$G16</f>
        <v>2404400</v>
      </c>
      <c r="E32" s="276">
        <f>'[5]Program Summary Case 4'!$E16+'[5]Program Summary Case 4'!$F16+'[5]Program Summary Case 4'!$G16</f>
        <v>2404400</v>
      </c>
      <c r="F32" s="276">
        <f>'[5]Program Summary Case 5'!$E16+'[5]Program Summary Case 5'!$F16+'[5]Program Summary Case 5'!$G16</f>
        <v>2404400</v>
      </c>
      <c r="G32" s="276">
        <f>'[5]Program Summary Case 6'!$E16+'[5]Program Summary Case 6'!$F16+'[5]Program Summary Case 6'!$G16</f>
        <v>2404400</v>
      </c>
      <c r="H32" s="276">
        <f>'[5]Program Summary Case 7'!$E16+'[5]Program Summary Case 7'!$F16+'[5]Program Summary Case 7'!$G16</f>
        <v>2404400</v>
      </c>
      <c r="I32" s="267"/>
    </row>
    <row r="33" spans="1:9" ht="20.399999999999999" hidden="1" customHeight="1" x14ac:dyDescent="0.3">
      <c r="A33" s="277" t="s">
        <v>241</v>
      </c>
      <c r="B33" s="276">
        <f>'[5]Program Summary Case 1'!$E22+'[5]Program Summary Case 1'!$F22+'[5]Program Summary Case 1'!$G22</f>
        <v>1392000</v>
      </c>
      <c r="C33" s="276">
        <f>'[5]Program Summary Case 2'!$E22+'[5]Program Summary Case 2'!$F22+'[5]Program Summary Case 2'!$G22</f>
        <v>1392000</v>
      </c>
      <c r="D33" s="276">
        <f>'[5]Program Summary Case 3'!$E22+'[5]Program Summary Case 3'!$F22+'[5]Program Summary Case 3'!$G22</f>
        <v>1392000</v>
      </c>
      <c r="E33" s="276">
        <f>'[5]Program Summary Case 4'!$E22+'[5]Program Summary Case 4'!$F22+'[5]Program Summary Case 4'!$G22</f>
        <v>1392000</v>
      </c>
      <c r="F33" s="276">
        <f>'[5]Program Summary Case 5'!$E22+'[5]Program Summary Case 5'!$F22+'[5]Program Summary Case 5'!$G22</f>
        <v>1392000</v>
      </c>
      <c r="G33" s="276">
        <f>'[5]Program Summary Case 6'!$E22+'[5]Program Summary Case 6'!$F22+'[5]Program Summary Case 6'!$G22</f>
        <v>1392000</v>
      </c>
      <c r="H33" s="276">
        <f>'[5]Program Summary Case 7'!$E22+'[5]Program Summary Case 7'!$F22+'[5]Program Summary Case 7'!$G22</f>
        <v>1392000</v>
      </c>
      <c r="I33" s="267"/>
    </row>
    <row r="34" spans="1:9" ht="20.25" hidden="1" customHeight="1" x14ac:dyDescent="0.3">
      <c r="A34" s="277" t="s">
        <v>242</v>
      </c>
      <c r="B34" s="276">
        <f>'[5]Program Summary Case 1'!$E49+'[5]Program Summary Case 1'!$F49+'[5]Program Summary Case 1'!$G49</f>
        <v>5991500</v>
      </c>
      <c r="C34" s="276">
        <f>'[5]Program Summary Case 2'!$E49+'[5]Program Summary Case 2'!$F49+'[5]Program Summary Case 2'!$G49</f>
        <v>5991500</v>
      </c>
      <c r="D34" s="276">
        <f>'[5]Program Summary Case 3'!$E49+'[5]Program Summary Case 3'!$F49+'[5]Program Summary Case 3'!$G49</f>
        <v>5991500</v>
      </c>
      <c r="E34" s="276">
        <f>'[5]Program Summary Case 4'!$E49+'[5]Program Summary Case 4'!$F49+'[5]Program Summary Case 4'!$G49</f>
        <v>5991500</v>
      </c>
      <c r="F34" s="276">
        <f>'[5]Program Summary Case 5'!$E49+'[5]Program Summary Case 5'!$F49+'[5]Program Summary Case 5'!$G49</f>
        <v>5991500</v>
      </c>
      <c r="G34" s="276">
        <f>'[5]Program Summary Case 6'!$E49+'[5]Program Summary Case 6'!$F49+'[5]Program Summary Case 6'!$G49</f>
        <v>5991500</v>
      </c>
      <c r="H34" s="276">
        <f>'[5]Program Summary Case 7'!$E49+'[5]Program Summary Case 7'!$F49+'[5]Program Summary Case 7'!$G49</f>
        <v>5991500</v>
      </c>
      <c r="I34" s="267"/>
    </row>
    <row r="35" spans="1:9" ht="20.25" hidden="1" customHeight="1" x14ac:dyDescent="0.3">
      <c r="A35" s="338" t="s">
        <v>4</v>
      </c>
      <c r="B35" s="270">
        <f>SUM(B32:B34)</f>
        <v>9787900</v>
      </c>
      <c r="C35" s="270">
        <f t="shared" ref="C35:H35" si="3">SUM(C32:C34)</f>
        <v>9787900</v>
      </c>
      <c r="D35" s="270">
        <f t="shared" si="3"/>
        <v>9787900</v>
      </c>
      <c r="E35" s="270">
        <f t="shared" si="3"/>
        <v>9787900</v>
      </c>
      <c r="F35" s="270">
        <f t="shared" si="3"/>
        <v>9787900</v>
      </c>
      <c r="G35" s="270">
        <f t="shared" si="3"/>
        <v>9787900</v>
      </c>
      <c r="H35" s="270">
        <f t="shared" si="3"/>
        <v>9787900</v>
      </c>
      <c r="I35" s="267"/>
    </row>
    <row r="36" spans="1:9" ht="11.25" customHeight="1" x14ac:dyDescent="0.3">
      <c r="A36" s="271"/>
      <c r="B36" s="272"/>
      <c r="C36" s="272"/>
      <c r="D36" s="272"/>
      <c r="E36" s="272"/>
      <c r="F36" s="272"/>
      <c r="G36" s="272"/>
      <c r="H36" s="272"/>
      <c r="I36" s="273"/>
    </row>
    <row r="37" spans="1:9" ht="17.399999999999999" customHeight="1" x14ac:dyDescent="0.3">
      <c r="A37" s="274" t="s">
        <v>172</v>
      </c>
      <c r="B37" s="276"/>
      <c r="C37" s="276"/>
      <c r="D37" s="276"/>
      <c r="E37" s="276"/>
      <c r="F37" s="276"/>
      <c r="G37" s="276"/>
      <c r="H37" s="276"/>
      <c r="I37" s="267"/>
    </row>
    <row r="38" spans="1:9" ht="20.399999999999999" customHeight="1" x14ac:dyDescent="0.3">
      <c r="A38" s="277" t="s">
        <v>203</v>
      </c>
      <c r="B38" s="276" t="e">
        <f>((('Program Summary'!#REF!)-('Output Cases Template'!B43*'Output Cases Template'!$B125))*'Output Cases Template'!B9)/'Output Cases Template'!$B125</f>
        <v>#REF!</v>
      </c>
      <c r="C38" s="276" t="e">
        <f>((('Program Summary'!#REF!)-('Output Cases Template'!C43*'Output Cases Template'!$B125))*'Output Cases Template'!C9)/'Output Cases Template'!$B125</f>
        <v>#REF!</v>
      </c>
      <c r="D38" s="276" t="e">
        <f>((('Program Summary'!#REF!)-('Output Cases Template'!D43*'Output Cases Template'!$B125))*'Output Cases Template'!D9)/'Output Cases Template'!$B125</f>
        <v>#REF!</v>
      </c>
      <c r="E38" s="276" t="e">
        <f>((('Program Summary'!#REF!)-('Output Cases Template'!E43*'Output Cases Template'!$B125))*'Output Cases Template'!E9)/'Output Cases Template'!$B125</f>
        <v>#REF!</v>
      </c>
      <c r="F38" s="276" t="e">
        <f>((('Program Summary'!#REF!)-('Output Cases Template'!F43*'Output Cases Template'!$B125))*'Output Cases Template'!F9)/'Output Cases Template'!$B125</f>
        <v>#REF!</v>
      </c>
      <c r="G38" s="276" t="e">
        <f>((('Program Summary'!#REF!)-('Output Cases Template'!G43*'Output Cases Template'!$B125))*'Output Cases Template'!G9)/'Output Cases Template'!$B125</f>
        <v>#REF!</v>
      </c>
      <c r="H38" s="276" t="e">
        <f>((('Program Summary'!#REF!)-('Output Cases Template'!H43*'Output Cases Template'!$B125))*'Output Cases Template'!H9)/'Output Cases Template'!$B125</f>
        <v>#REF!</v>
      </c>
      <c r="I38" s="267"/>
    </row>
    <row r="39" spans="1:9" ht="20.399999999999999" customHeight="1" x14ac:dyDescent="0.3">
      <c r="A39" s="277" t="s">
        <v>206</v>
      </c>
      <c r="B39" s="276" t="e">
        <f>((('Program Summary'!#REF!)-('Output Cases Template'!B44*'Output Cases Template'!$B126))*'Output Cases Template'!B9)/'Output Cases Template'!$B126</f>
        <v>#REF!</v>
      </c>
      <c r="C39" s="276" t="e">
        <f>((('Program Summary'!#REF!)-('Output Cases Template'!C44*'Output Cases Template'!$B126))*'Output Cases Template'!C9)/'Output Cases Template'!$B126</f>
        <v>#REF!</v>
      </c>
      <c r="D39" s="276" t="e">
        <f>((('Program Summary'!#REF!)-('Output Cases Template'!D44*'Output Cases Template'!$B126))*'Output Cases Template'!D9)/'Output Cases Template'!$B126</f>
        <v>#REF!</v>
      </c>
      <c r="E39" s="276" t="e">
        <f>((('Program Summary'!#REF!)-('Output Cases Template'!E44*'Output Cases Template'!$B126))*'Output Cases Template'!E9)/'Output Cases Template'!$B126</f>
        <v>#REF!</v>
      </c>
      <c r="F39" s="276" t="e">
        <f>((('Program Summary'!#REF!)-('Output Cases Template'!F44*'Output Cases Template'!$B126))*'Output Cases Template'!F9)/'Output Cases Template'!$B126</f>
        <v>#REF!</v>
      </c>
      <c r="G39" s="276" t="e">
        <f>((('Program Summary'!#REF!)-('Output Cases Template'!G44*'Output Cases Template'!$B126))*'Output Cases Template'!G9)/'Output Cases Template'!$B126</f>
        <v>#REF!</v>
      </c>
      <c r="H39" s="276" t="e">
        <f>((('Program Summary'!#REF!)-('Output Cases Template'!H44*'Output Cases Template'!$B126))*'Output Cases Template'!H9)/'Output Cases Template'!$B126</f>
        <v>#REF!</v>
      </c>
      <c r="I39" s="267"/>
    </row>
    <row r="40" spans="1:9" ht="20.399999999999999" customHeight="1" x14ac:dyDescent="0.3">
      <c r="A40" s="277" t="s">
        <v>202</v>
      </c>
      <c r="B40" s="276" t="e">
        <f>((('Program Summary'!#REF!))*'Output Cases Template'!B9)/'Output Cases Template'!$B127</f>
        <v>#REF!</v>
      </c>
      <c r="C40" s="276" t="e">
        <f>((('Program Summary'!#REF!))*'Output Cases Template'!C9)/'Output Cases Template'!$B127</f>
        <v>#REF!</v>
      </c>
      <c r="D40" s="276" t="e">
        <f>((('Program Summary'!#REF!))*'Output Cases Template'!D9)/'Output Cases Template'!$B127</f>
        <v>#REF!</v>
      </c>
      <c r="E40" s="276" t="e">
        <f>((('Program Summary'!#REF!))*'Output Cases Template'!E9)/'Output Cases Template'!$B127</f>
        <v>#REF!</v>
      </c>
      <c r="F40" s="276" t="e">
        <f>((('Program Summary'!#REF!))*'Output Cases Template'!F9)/'Output Cases Template'!$B127</f>
        <v>#REF!</v>
      </c>
      <c r="G40" s="276" t="e">
        <f>((('Program Summary'!#REF!))*'Output Cases Template'!G9)/'Output Cases Template'!$B127</f>
        <v>#REF!</v>
      </c>
      <c r="H40" s="276" t="e">
        <f>((('Program Summary'!#REF!))*'Output Cases Template'!H9)/'Output Cases Template'!$B127</f>
        <v>#REF!</v>
      </c>
      <c r="I40" s="267"/>
    </row>
    <row r="41" spans="1:9" ht="11.25" customHeight="1" x14ac:dyDescent="0.3">
      <c r="A41" s="271"/>
      <c r="B41" s="272"/>
      <c r="C41" s="272"/>
      <c r="D41" s="272"/>
      <c r="E41" s="272"/>
      <c r="F41" s="272"/>
      <c r="G41" s="272"/>
      <c r="H41" s="272"/>
      <c r="I41" s="273"/>
    </row>
    <row r="42" spans="1:9" ht="15.6" x14ac:dyDescent="0.3">
      <c r="A42" s="278" t="s">
        <v>173</v>
      </c>
      <c r="B42" s="276"/>
      <c r="C42" s="276"/>
      <c r="D42" s="276"/>
      <c r="E42" s="276"/>
      <c r="F42" s="276"/>
      <c r="G42" s="276"/>
      <c r="H42" s="276"/>
      <c r="I42" s="279"/>
    </row>
    <row r="43" spans="1:9" ht="20.399999999999999" customHeight="1" x14ac:dyDescent="0.3">
      <c r="A43" s="277" t="s">
        <v>204</v>
      </c>
      <c r="B43" s="276">
        <f>$F125</f>
        <v>0</v>
      </c>
      <c r="C43" s="276">
        <f t="shared" ref="C43:H43" si="4">$F125</f>
        <v>0</v>
      </c>
      <c r="D43" s="276">
        <f t="shared" si="4"/>
        <v>0</v>
      </c>
      <c r="E43" s="276">
        <f t="shared" si="4"/>
        <v>0</v>
      </c>
      <c r="F43" s="276">
        <f t="shared" si="4"/>
        <v>0</v>
      </c>
      <c r="G43" s="276">
        <f t="shared" si="4"/>
        <v>0</v>
      </c>
      <c r="H43" s="276">
        <f t="shared" si="4"/>
        <v>0</v>
      </c>
      <c r="I43" s="267"/>
    </row>
    <row r="44" spans="1:9" ht="20.399999999999999" customHeight="1" x14ac:dyDescent="0.3">
      <c r="A44" s="277" t="s">
        <v>205</v>
      </c>
      <c r="B44" s="276">
        <f>$F126</f>
        <v>0</v>
      </c>
      <c r="C44" s="276">
        <f t="shared" ref="C44:H44" si="5">$F126</f>
        <v>0</v>
      </c>
      <c r="D44" s="276">
        <f t="shared" si="5"/>
        <v>0</v>
      </c>
      <c r="E44" s="276">
        <f t="shared" si="5"/>
        <v>0</v>
      </c>
      <c r="F44" s="276">
        <f t="shared" si="5"/>
        <v>0</v>
      </c>
      <c r="G44" s="276">
        <f t="shared" si="5"/>
        <v>0</v>
      </c>
      <c r="H44" s="276">
        <f t="shared" si="5"/>
        <v>0</v>
      </c>
      <c r="I44" s="267"/>
    </row>
    <row r="45" spans="1:9" ht="20.399999999999999" customHeight="1" x14ac:dyDescent="0.3">
      <c r="A45" s="277" t="s">
        <v>207</v>
      </c>
      <c r="B45" s="280" t="s">
        <v>174</v>
      </c>
      <c r="C45" s="280" t="s">
        <v>174</v>
      </c>
      <c r="D45" s="280" t="s">
        <v>174</v>
      </c>
      <c r="E45" s="280" t="s">
        <v>174</v>
      </c>
      <c r="F45" s="280" t="s">
        <v>174</v>
      </c>
      <c r="G45" s="280" t="s">
        <v>174</v>
      </c>
      <c r="H45" s="280" t="s">
        <v>174</v>
      </c>
      <c r="I45" s="267"/>
    </row>
    <row r="46" spans="1:9" ht="11.25" customHeight="1" x14ac:dyDescent="0.3">
      <c r="A46" s="271"/>
      <c r="B46" s="272"/>
      <c r="C46" s="272"/>
      <c r="D46" s="272"/>
      <c r="E46" s="272"/>
      <c r="F46" s="272"/>
      <c r="G46" s="272"/>
      <c r="H46" s="272"/>
      <c r="I46" s="273"/>
    </row>
    <row r="47" spans="1:9" ht="15.6" x14ac:dyDescent="0.3">
      <c r="A47" s="274" t="s">
        <v>175</v>
      </c>
      <c r="B47" s="276"/>
      <c r="C47" s="276"/>
      <c r="D47" s="276"/>
      <c r="E47" s="276"/>
      <c r="F47" s="276"/>
      <c r="G47" s="276"/>
      <c r="H47" s="276"/>
      <c r="I47" s="267"/>
    </row>
    <row r="48" spans="1:9" ht="20.399999999999999" customHeight="1" x14ac:dyDescent="0.3">
      <c r="A48" s="277" t="s">
        <v>204</v>
      </c>
      <c r="B48" s="276" t="e">
        <f>('Program Summary'!#REF!-'Output Cases Template'!B$13)/$F$130/'Output Cases Template'!$B125</f>
        <v>#REF!</v>
      </c>
      <c r="C48" s="276" t="e">
        <f>('Program Summary'!#REF!-'Output Cases Template'!C$13)/$F$130/'Output Cases Template'!$B125</f>
        <v>#REF!</v>
      </c>
      <c r="D48" s="276" t="e">
        <f>('Program Summary'!#REF!-'Output Cases Template'!D$13)/$F$130/'Output Cases Template'!$B125</f>
        <v>#REF!</v>
      </c>
      <c r="E48" s="276" t="e">
        <f>('Program Summary'!#REF!-'Output Cases Template'!E$13)/$F$130/'Output Cases Template'!$B125</f>
        <v>#REF!</v>
      </c>
      <c r="F48" s="276" t="e">
        <f>('Program Summary'!#REF!-('Output Cases Template'!F$13*20*0.2401))/$F$130/'Output Cases Template'!$B125</f>
        <v>#REF!</v>
      </c>
      <c r="G48" s="276" t="e">
        <f>('Program Summary'!#REF!-('Output Cases Template'!G$13*20*0.2401))/$F$130/'Output Cases Template'!$B125</f>
        <v>#REF!</v>
      </c>
      <c r="H48" s="276" t="e">
        <f>('Program Summary'!#REF!-'Output Cases Template'!H$13)/$F$130/'Output Cases Template'!$B125</f>
        <v>#REF!</v>
      </c>
      <c r="I48" s="267"/>
    </row>
    <row r="49" spans="1:9" ht="20.399999999999999" customHeight="1" x14ac:dyDescent="0.3">
      <c r="A49" s="277" t="s">
        <v>205</v>
      </c>
      <c r="B49" s="276" t="e">
        <f>('Program Summary'!#REF!-'Output Cases Template'!B$13)/$F$130/'Output Cases Template'!$B126</f>
        <v>#REF!</v>
      </c>
      <c r="C49" s="276" t="e">
        <f>('Program Summary'!#REF!-'Output Cases Template'!C$13)/$F$130/'Output Cases Template'!$B126</f>
        <v>#REF!</v>
      </c>
      <c r="D49" s="276" t="e">
        <f>('Program Summary'!#REF!-'Output Cases Template'!D$13)/$F$130/'Output Cases Template'!$B126</f>
        <v>#REF!</v>
      </c>
      <c r="E49" s="276" t="e">
        <f>('Program Summary'!#REF!-'Output Cases Template'!E$13)/$F$130/'Output Cases Template'!$B126</f>
        <v>#REF!</v>
      </c>
      <c r="F49" s="276" t="e">
        <f>('Program Summary'!#REF!-('Output Cases Template'!F$13*20*0.0453))/$F$130/'Output Cases Template'!$B126</f>
        <v>#REF!</v>
      </c>
      <c r="G49" s="276" t="e">
        <f>('Program Summary'!#REF!-('Output Cases Template'!G$13*20*0.0453))/$F$130/'Output Cases Template'!$B126</f>
        <v>#REF!</v>
      </c>
      <c r="H49" s="276" t="e">
        <f>('Program Summary'!#REF!-'Output Cases Template'!H$13)/$F$130/'Output Cases Template'!$B126</f>
        <v>#REF!</v>
      </c>
      <c r="I49" s="267"/>
    </row>
    <row r="50" spans="1:9" ht="20.399999999999999" customHeight="1" x14ac:dyDescent="0.3">
      <c r="A50" s="277" t="s">
        <v>229</v>
      </c>
      <c r="B50" s="276" t="e">
        <f>('Program Summary'!#REF!-'Output Cases Template'!B$13)/$F$130/'Output Cases Template'!$B126</f>
        <v>#REF!</v>
      </c>
      <c r="C50" s="276" t="e">
        <f>('Program Summary'!#REF!-'Output Cases Template'!C$13)/$F$130/'Output Cases Template'!$B126</f>
        <v>#REF!</v>
      </c>
      <c r="D50" s="276" t="e">
        <f>('Program Summary'!#REF!-'Output Cases Template'!D$13)/$F$130/'Output Cases Template'!$B126</f>
        <v>#REF!</v>
      </c>
      <c r="E50" s="276" t="e">
        <f>('Program Summary'!#REF!-'Output Cases Template'!E$13)/$F$130/'Output Cases Template'!$B126</f>
        <v>#REF!</v>
      </c>
      <c r="F50" s="276" t="e">
        <f>('Program Summary'!#REF!-('Output Cases Template'!F$13*20*0.7145))/$F$130/'Output Cases Template'!$B126</f>
        <v>#REF!</v>
      </c>
      <c r="G50" s="276" t="e">
        <f>('Program Summary'!#REF!-('Output Cases Template'!G$13*20*0.7145))/$F$130/'Output Cases Template'!$B126</f>
        <v>#REF!</v>
      </c>
      <c r="H50" s="276" t="e">
        <f>('Program Summary'!#REF!-'Output Cases Template'!H$13)/$F$130/'Output Cases Template'!$B126</f>
        <v>#REF!</v>
      </c>
      <c r="I50" s="267"/>
    </row>
    <row r="51" spans="1:9" ht="20.399999999999999" customHeight="1" x14ac:dyDescent="0.3">
      <c r="A51" s="277" t="s">
        <v>230</v>
      </c>
      <c r="B51" s="276" t="e">
        <f>('Program Summary'!#REF!-'Output Cases Template'!B$13)/$F$130/'Output Cases Template'!$B127</f>
        <v>#REF!</v>
      </c>
      <c r="C51" s="276" t="e">
        <f>('Program Summary'!#REF!-'Output Cases Template'!C$13)/$F$130/'Output Cases Template'!$B127</f>
        <v>#REF!</v>
      </c>
      <c r="D51" s="276" t="e">
        <f>('Program Summary'!#REF!-'Output Cases Template'!D$13)/$F$130/'Output Cases Template'!$B127</f>
        <v>#REF!</v>
      </c>
      <c r="E51" s="276" t="e">
        <f>('Program Summary'!#REF!-'Output Cases Template'!E$13)/$F$130/'Output Cases Template'!$B127</f>
        <v>#REF!</v>
      </c>
      <c r="F51" s="276" t="e">
        <f>('Program Summary'!#REF!-('Output Cases Template'!F$13*20*0.7145))/$F$130/'Output Cases Template'!$B127</f>
        <v>#REF!</v>
      </c>
      <c r="G51" s="276" t="e">
        <f>('Program Summary'!#REF!-('Output Cases Template'!G$13*20*0.7145))/$F$130/'Output Cases Template'!$B127</f>
        <v>#REF!</v>
      </c>
      <c r="H51" s="276" t="e">
        <f>('Program Summary'!#REF!-'Output Cases Template'!H$13)/$F$130/'Output Cases Template'!$B127</f>
        <v>#REF!</v>
      </c>
      <c r="I51" s="267"/>
    </row>
    <row r="52" spans="1:9" ht="11.25" customHeight="1" x14ac:dyDescent="0.3">
      <c r="A52" s="271"/>
      <c r="B52" s="272"/>
      <c r="C52" s="272"/>
      <c r="D52" s="272"/>
      <c r="E52" s="272"/>
      <c r="F52" s="272"/>
      <c r="G52" s="272"/>
      <c r="H52" s="272"/>
      <c r="I52" s="273"/>
    </row>
    <row r="53" spans="1:9" ht="15.6" x14ac:dyDescent="0.3">
      <c r="A53" s="274" t="s">
        <v>258</v>
      </c>
      <c r="B53" s="276"/>
      <c r="C53" s="276"/>
      <c r="D53" s="276"/>
      <c r="E53" s="276"/>
      <c r="F53" s="276"/>
      <c r="G53" s="276"/>
      <c r="H53" s="276"/>
      <c r="I53" s="267"/>
    </row>
    <row r="54" spans="1:9" ht="20.399999999999999" customHeight="1" x14ac:dyDescent="0.3">
      <c r="A54" s="277" t="s">
        <v>204</v>
      </c>
      <c r="B54" s="276" t="e">
        <f>((((((('Program Summary'!#REF!)-(B$43*$B$125))*(1-B$9))+'Program Summary'!#REF!))+((((('Program Summary'!#REF!)-(B$44*$B$126))*(1-B$9))+'Program Summary'!#REF!))+((((('Program Summary'!#REF!))*(1-B$9)))+'Program Summary'!#REF!))/$B$129/$F$130)-(((((((('Program Summary'!#REF!)-(B$43*$B$125))*(1-B$9))+'Program Summary'!#REF!))+((((('Program Summary'!#REF!)-(B$44*$B$126))*(1-B$9))+'Program Summary'!#REF!))+((((('Program Summary'!#REF!))*(1-B$9)))+'Program Summary'!#REF!))/$B$129/$F$130)*$F$129)</f>
        <v>#REF!</v>
      </c>
      <c r="C54" s="276" t="e">
        <f>((((((('Program Summary'!#REF!)-(C$43*$B$125))*(1-C$9))+'Program Summary'!#REF!))+((((('Program Summary'!#REF!)-(C$44*$B$126))*(1-C$9))+'Program Summary'!#REF!))+((((('Program Summary'!#REF!))*(1-C$9)))+'Program Summary'!#REF!))/$B$129/$F$130)-(((((((('Program Summary'!#REF!)-(C$43*$B$125))*(1-C$9))+'Program Summary'!#REF!))+((((('Program Summary'!#REF!)-(C$44*$B$126))*(1-C$9))+'Program Summary'!#REF!))+((((('Program Summary'!#REF!))*(1-C$9)))+'Program Summary'!#REF!))/$B$129/$F$130)*$F$129)</f>
        <v>#REF!</v>
      </c>
      <c r="D54" s="276" t="e">
        <f>((((((('Program Summary'!#REF!)-(D$43*$B$125))*(1-D$9))+'Program Summary'!#REF!))+((((('Program Summary'!#REF!)-(D$44*$B$126))*(1-D$9))+'Program Summary'!#REF!))+((((('Program Summary'!#REF!))*(1-D$9)))+'Program Summary'!#REF!))/$B$129/$F$130)-(((((((('Program Summary'!#REF!)-(D$43*$B$125))*(1-D$9))+'Program Summary'!#REF!))+((((('Program Summary'!#REF!)-(D$44*$B$126))*(1-D$9))+'Program Summary'!#REF!))+((((('Program Summary'!#REF!))*(1-D$9)))+'Program Summary'!#REF!))/$B$129/$F$130)*$F$129)</f>
        <v>#REF!</v>
      </c>
      <c r="E54" s="276" t="e">
        <f>((((((('Program Summary'!#REF!)-(E$43*$B$125))*(1-E$9))+'Program Summary'!#REF!))+((((('Program Summary'!#REF!)-(E$44*$B$126))*(1-E$9))+'Program Summary'!#REF!))+((((('Program Summary'!#REF!))*(1-E$9)))+'Program Summary'!#REF!))/$B$129/$F$130)-(((((((('Program Summary'!#REF!)-(E$43*$B$125))*(1-E$9))+'Program Summary'!#REF!))+((((('Program Summary'!#REF!)-(E$44*$B$126))*(1-E$9))+'Program Summary'!#REF!))+((((('Program Summary'!#REF!))*(1-E$9)))+'Program Summary'!#REF!))/$B$129/$F$130)*$F$129)</f>
        <v>#REF!</v>
      </c>
      <c r="F54" s="276" t="e">
        <f>((((((('Program Summary'!#REF!)-(F$43*$B$125))*(1-F$9))+'Program Summary'!#REF!))+((((('Program Summary'!#REF!)-(F$44*$B$126))*(1-F$9))+'Program Summary'!#REF!))+((((('Program Summary'!#REF!))*(1-F$9)))+'Program Summary'!#REF!))/$B$129/$F$130)-(((((((('Program Summary'!#REF!)-(F$43*$B$125))*(1-F$9))+'Program Summary'!#REF!))+((((('Program Summary'!#REF!)-(F$44*$B$126))*(1-F$9))+'Program Summary'!#REF!))+((((('Program Summary'!#REF!))*(1-F$9)))+'Program Summary'!#REF!))/$B$129/$F$130)*$F$129)</f>
        <v>#REF!</v>
      </c>
      <c r="G54" s="276" t="e">
        <f>((((((('Program Summary'!#REF!)-(G$43*$B$125))*(1-G$9))+'Program Summary'!#REF!))+((((('Program Summary'!#REF!)-(G$44*$B$126))*(1-G$9))+'Program Summary'!#REF!))+((((('Program Summary'!#REF!))*(1-G$9)))+'Program Summary'!#REF!))/$B$129/$F$130)-(((((((('Program Summary'!#REF!)-(G$43*$B$125))*(1-G$9))+'Program Summary'!#REF!))+((((('Program Summary'!#REF!)-(G$44*$B$126))*(1-G$9))+'Program Summary'!#REF!))+((((('Program Summary'!#REF!))*(1-G$9)))+'Program Summary'!#REF!))/$B$129/$F$130)*$F$129)</f>
        <v>#REF!</v>
      </c>
      <c r="H54" s="276" t="e">
        <f>((((((('Program Summary'!#REF!)-(H$43*$B$125))*(1-H$9))+'Program Summary'!#REF!))+((((('Program Summary'!#REF!)-(H$44*$B$126))*(1-H$9))+'Program Summary'!#REF!))+((((('Program Summary'!#REF!))*(1-H$9)))+'Program Summary'!#REF!))/$B$129/$F$130)-(((((((('Program Summary'!#REF!)-(H$43*$B$125))*(1-H$9))+'Program Summary'!#REF!))+((((('Program Summary'!#REF!)-(H$44*$B$126))*(1-H$9))+'Program Summary'!#REF!))+((((('Program Summary'!#REF!))*(1-H$9)))+'Program Summary'!#REF!))/$B$129/$F$130)*$F$129)</f>
        <v>#REF!</v>
      </c>
      <c r="I54" s="267"/>
    </row>
    <row r="55" spans="1:9" ht="20.399999999999999" customHeight="1" x14ac:dyDescent="0.3">
      <c r="A55" s="277" t="s">
        <v>205</v>
      </c>
      <c r="B55" s="276" t="e">
        <f>((((((('Program Summary'!#REF!)-(B$43*$B$125))*(1-B$9))+'Program Summary'!#REF!))+((((('Program Summary'!#REF!)-(B$44*$B$126))*(1-B$9))+'Program Summary'!#REF!))+((((('Program Summary'!#REF!))*(1-B$9)))+'Program Summary'!#REF!))/$B$129/$F$130)-(((((((('Program Summary'!#REF!)-(B$43*$B$125))*(1-B$9))+'Program Summary'!#REF!))+((((('Program Summary'!#REF!)-(B$44*$B$126))*(1-B$9))+'Program Summary'!#REF!))+((((('Program Summary'!#REF!))*(1-B$9)))+'Program Summary'!#REF!))/$B$129/$F$130)*$F$129)</f>
        <v>#REF!</v>
      </c>
      <c r="C55" s="276" t="e">
        <f>((((((('Program Summary'!#REF!)-(C$43*$B$125))*(1-C$9))+'Program Summary'!#REF!))+((((('Program Summary'!#REF!)-(C$44*$B$126))*(1-C$9))+'Program Summary'!#REF!))+((((('Program Summary'!#REF!))*(1-C$9)))+'Program Summary'!#REF!))/$B$129/$F$130)-(((((((('Program Summary'!#REF!)-(C$43*$B$125))*(1-C$9))+'Program Summary'!#REF!))+((((('Program Summary'!#REF!)-(C$44*$B$126))*(1-C$9))+'Program Summary'!#REF!))+((((('Program Summary'!#REF!))*(1-C$9)))+'Program Summary'!#REF!))/$B$129/$F$130)*$F$129)</f>
        <v>#REF!</v>
      </c>
      <c r="D55" s="276" t="e">
        <f>((((((('Program Summary'!#REF!)-(D$43*$B$125))*(1-D$9))+'Program Summary'!#REF!))+((((('Program Summary'!#REF!)-(D$44*$B$126))*(1-D$9))+'Program Summary'!#REF!))+((((('Program Summary'!#REF!))*(1-D$9)))+'Program Summary'!#REF!))/$B$129/$F$130)-(((((((('Program Summary'!#REF!)-(D$43*$B$125))*(1-D$9))+'Program Summary'!#REF!))+((((('Program Summary'!#REF!)-(D$44*$B$126))*(1-D$9))+'Program Summary'!#REF!))+((((('Program Summary'!#REF!))*(1-D$9)))+'Program Summary'!#REF!))/$B$129/$F$130)*$F$129)</f>
        <v>#REF!</v>
      </c>
      <c r="E55" s="276">
        <f>+'[4]Case 4'!E54</f>
        <v>354.91927307365194</v>
      </c>
      <c r="F55" s="276">
        <f>+'[4]Case 5'!E54</f>
        <v>354.91927307365194</v>
      </c>
      <c r="G55" s="276">
        <f>+'[4]Case 6'!E54</f>
        <v>259.31399979588366</v>
      </c>
      <c r="H55" s="276">
        <f>+'[4]Case 7'!E54</f>
        <v>443.84115759823101</v>
      </c>
      <c r="I55" s="267"/>
    </row>
    <row r="56" spans="1:9" ht="20.399999999999999" customHeight="1" x14ac:dyDescent="0.3">
      <c r="A56" s="277" t="s">
        <v>207</v>
      </c>
      <c r="B56" s="276" t="e">
        <f>((((((('Program Summary'!#REF!)-(B$43*$B$125))*(1-B$9))+'Program Summary'!#REF!))+((((('Program Summary'!#REF!)-(B$44*$B$126))*(1-B$9))+'Program Summary'!#REF!))+((((('Program Summary'!#REF!))*(1-B$9)))+'Program Summary'!#REF!))/$B$129/$F$130)-(((((((('Program Summary'!#REF!)-(B$43*$B$125))*(1-B$9))+'Program Summary'!#REF!))+((((('Program Summary'!#REF!)-(B$44*$B$126))*(1-B$9))+'Program Summary'!#REF!))+((((('Program Summary'!#REF!))*(1-B$9)))+'Program Summary'!#REF!))/$B$129/$F$130)*$F$129)</f>
        <v>#REF!</v>
      </c>
      <c r="C56" s="276" t="e">
        <f>((((((('Program Summary'!#REF!)-(C$43*$B$125))*(1-C$9))+'Program Summary'!#REF!))+((((('Program Summary'!#REF!)-(C$44*$B$126))*(1-C$9))+'Program Summary'!#REF!))+((((('Program Summary'!#REF!))*(1-C$9)))+'Program Summary'!#REF!))/$B$129/$F$130)-(((((((('Program Summary'!#REF!)-(C$43*$B$125))*(1-C$9))+'Program Summary'!#REF!))+((((('Program Summary'!#REF!)-(C$44*$B$126))*(1-C$9))+'Program Summary'!#REF!))+((((('Program Summary'!#REF!))*(1-C$9)))+'Program Summary'!#REF!))/$B$129/$F$130)*$F$129)</f>
        <v>#REF!</v>
      </c>
      <c r="D56" s="276" t="e">
        <f>((((((('Program Summary'!#REF!)-(D$43*$B$125))*(1-D$9))+'Program Summary'!#REF!))+((((('Program Summary'!#REF!)-(D$44*$B$126))*(1-D$9))+'Program Summary'!#REF!))+((((('Program Summary'!#REF!))*(1-D$9)))+'Program Summary'!#REF!))/$B$129/$F$130)-(((((((('Program Summary'!#REF!)-(D$43*$B$125))*(1-D$9))+'Program Summary'!#REF!))+((((('Program Summary'!#REF!)-(D$44*$B$126))*(1-D$9))+'Program Summary'!#REF!))+((((('Program Summary'!#REF!))*(1-D$9)))+'Program Summary'!#REF!))/$B$129/$F$130)*$F$129)</f>
        <v>#REF!</v>
      </c>
      <c r="E56" s="276">
        <f>+'[4]Case 4'!E71</f>
        <v>354.91927307365194</v>
      </c>
      <c r="F56" s="276">
        <f>+'[4]Case 5'!E71</f>
        <v>354.91927307365194</v>
      </c>
      <c r="G56" s="276">
        <f>+'[4]Case 6'!E71</f>
        <v>259.3139997958836</v>
      </c>
      <c r="H56" s="276">
        <f>+'[4]Case 7'!E71</f>
        <v>443.84115759823101</v>
      </c>
      <c r="I56" s="267"/>
    </row>
    <row r="57" spans="1:9" ht="11.25" customHeight="1" x14ac:dyDescent="0.3">
      <c r="A57" s="271"/>
      <c r="B57" s="272"/>
      <c r="C57" s="272"/>
      <c r="D57" s="272"/>
      <c r="E57" s="272"/>
      <c r="F57" s="272"/>
      <c r="G57" s="272"/>
      <c r="H57" s="272"/>
      <c r="I57" s="273"/>
    </row>
    <row r="58" spans="1:9" ht="20.399999999999999" customHeight="1" x14ac:dyDescent="0.3">
      <c r="A58" s="274" t="s">
        <v>176</v>
      </c>
      <c r="B58" s="276"/>
      <c r="C58" s="276"/>
      <c r="D58" s="276"/>
      <c r="E58" s="276"/>
      <c r="F58" s="276"/>
      <c r="G58" s="276"/>
      <c r="H58" s="276"/>
      <c r="I58" s="267"/>
    </row>
    <row r="59" spans="1:9" ht="20.399999999999999" customHeight="1" x14ac:dyDescent="0.3">
      <c r="A59" s="277" t="s">
        <v>204</v>
      </c>
      <c r="B59" s="270" t="e">
        <f t="shared" ref="B59:H60" si="6">+B48+B54+(B38/$F$132)+(B43/$F$132)</f>
        <v>#REF!</v>
      </c>
      <c r="C59" s="270" t="e">
        <f t="shared" si="6"/>
        <v>#REF!</v>
      </c>
      <c r="D59" s="270" t="e">
        <f t="shared" si="6"/>
        <v>#REF!</v>
      </c>
      <c r="E59" s="270" t="e">
        <f t="shared" si="6"/>
        <v>#REF!</v>
      </c>
      <c r="F59" s="270" t="e">
        <f t="shared" si="6"/>
        <v>#REF!</v>
      </c>
      <c r="G59" s="270" t="e">
        <f t="shared" si="6"/>
        <v>#REF!</v>
      </c>
      <c r="H59" s="270" t="e">
        <f t="shared" si="6"/>
        <v>#REF!</v>
      </c>
      <c r="I59" s="267"/>
    </row>
    <row r="60" spans="1:9" ht="20.399999999999999" customHeight="1" x14ac:dyDescent="0.3">
      <c r="A60" s="277" t="s">
        <v>205</v>
      </c>
      <c r="B60" s="270" t="e">
        <f t="shared" si="6"/>
        <v>#REF!</v>
      </c>
      <c r="C60" s="270" t="e">
        <f t="shared" si="6"/>
        <v>#REF!</v>
      </c>
      <c r="D60" s="270" t="e">
        <f t="shared" si="6"/>
        <v>#REF!</v>
      </c>
      <c r="E60" s="270" t="e">
        <f t="shared" si="6"/>
        <v>#REF!</v>
      </c>
      <c r="F60" s="270" t="e">
        <f t="shared" si="6"/>
        <v>#REF!</v>
      </c>
      <c r="G60" s="270" t="e">
        <f t="shared" si="6"/>
        <v>#REF!</v>
      </c>
      <c r="H60" s="270" t="e">
        <f t="shared" si="6"/>
        <v>#REF!</v>
      </c>
      <c r="I60" s="267"/>
    </row>
    <row r="61" spans="1:9" ht="20.399999999999999" customHeight="1" x14ac:dyDescent="0.3">
      <c r="A61" s="277" t="s">
        <v>207</v>
      </c>
      <c r="B61" s="270" t="e">
        <f t="shared" ref="B61:H61" si="7">+B50+B51+B56+(B40/$F$132)</f>
        <v>#REF!</v>
      </c>
      <c r="C61" s="270" t="e">
        <f t="shared" si="7"/>
        <v>#REF!</v>
      </c>
      <c r="D61" s="270" t="e">
        <f t="shared" si="7"/>
        <v>#REF!</v>
      </c>
      <c r="E61" s="270" t="e">
        <f t="shared" si="7"/>
        <v>#REF!</v>
      </c>
      <c r="F61" s="270" t="e">
        <f t="shared" si="7"/>
        <v>#REF!</v>
      </c>
      <c r="G61" s="270" t="e">
        <f t="shared" si="7"/>
        <v>#REF!</v>
      </c>
      <c r="H61" s="270" t="e">
        <f t="shared" si="7"/>
        <v>#REF!</v>
      </c>
      <c r="I61" s="267"/>
    </row>
    <row r="62" spans="1:9" ht="15.6" hidden="1" x14ac:dyDescent="0.3">
      <c r="A62" s="267"/>
      <c r="B62" s="270"/>
      <c r="C62" s="270"/>
      <c r="D62" s="270"/>
      <c r="E62" s="270"/>
      <c r="F62" s="270"/>
      <c r="G62" s="270"/>
      <c r="H62" s="275"/>
      <c r="I62" s="267"/>
    </row>
    <row r="63" spans="1:9" ht="15.6" hidden="1" x14ac:dyDescent="0.3">
      <c r="A63" s="274" t="s">
        <v>177</v>
      </c>
      <c r="B63" s="270">
        <f>+'[4]Case 1'!E99</f>
        <v>1763.7462903555024</v>
      </c>
      <c r="C63" s="270">
        <f>+'[4]Case 2'!E99</f>
        <v>1763.7462903555024</v>
      </c>
      <c r="D63" s="270">
        <f>+'[4]Case 3'!E99</f>
        <v>1554.6097550603845</v>
      </c>
      <c r="E63" s="270">
        <f>+'[4]Case 4'!E99</f>
        <v>1222.6470006236887</v>
      </c>
      <c r="F63" s="270">
        <f>+'[4]Case 5'!E99</f>
        <v>1222.6470006236887</v>
      </c>
      <c r="G63" s="270">
        <f>+'[4]Case 6'!E99</f>
        <v>1222.6470006236887</v>
      </c>
      <c r="H63" s="275">
        <f>+'[4]Case 7'!E99</f>
        <v>1763.7462903555024</v>
      </c>
      <c r="I63" s="267"/>
    </row>
    <row r="64" spans="1:9" ht="11.25" customHeight="1" x14ac:dyDescent="0.3">
      <c r="A64" s="271"/>
      <c r="B64" s="272"/>
      <c r="C64" s="272"/>
      <c r="D64" s="272"/>
      <c r="E64" s="272"/>
      <c r="F64" s="272"/>
      <c r="G64" s="272"/>
      <c r="H64" s="272"/>
      <c r="I64" s="273"/>
    </row>
    <row r="65" spans="1:9" s="283" customFormat="1" ht="38.25" customHeight="1" x14ac:dyDescent="0.25">
      <c r="A65" s="281" t="s">
        <v>178</v>
      </c>
      <c r="B65" s="282" t="e">
        <f>B68</f>
        <v>#REF!</v>
      </c>
      <c r="C65" s="282" t="e">
        <f t="shared" ref="C65:H65" si="8">C68</f>
        <v>#REF!</v>
      </c>
      <c r="D65" s="282" t="e">
        <f t="shared" si="8"/>
        <v>#REF!</v>
      </c>
      <c r="E65" s="282" t="e">
        <f t="shared" si="8"/>
        <v>#REF!</v>
      </c>
      <c r="F65" s="282" t="e">
        <f t="shared" si="8"/>
        <v>#REF!</v>
      </c>
      <c r="G65" s="282" t="e">
        <f t="shared" si="8"/>
        <v>#REF!</v>
      </c>
      <c r="H65" s="282" t="e">
        <f t="shared" si="8"/>
        <v>#REF!</v>
      </c>
      <c r="I65" s="282">
        <v>2550</v>
      </c>
    </row>
    <row r="66" spans="1:9" s="283" customFormat="1" ht="38.25" customHeight="1" x14ac:dyDescent="0.25">
      <c r="A66" s="284" t="s">
        <v>260</v>
      </c>
      <c r="B66" s="285" t="s">
        <v>174</v>
      </c>
      <c r="C66" s="286" t="e">
        <f>-($B$65-C65)/$B$65</f>
        <v>#REF!</v>
      </c>
      <c r="D66" s="286" t="e">
        <f t="shared" ref="D66:I66" si="9">-($B$65-D65)/$B$65</f>
        <v>#REF!</v>
      </c>
      <c r="E66" s="286" t="e">
        <f t="shared" si="9"/>
        <v>#REF!</v>
      </c>
      <c r="F66" s="286" t="e">
        <f t="shared" si="9"/>
        <v>#REF!</v>
      </c>
      <c r="G66" s="286" t="e">
        <f t="shared" si="9"/>
        <v>#REF!</v>
      </c>
      <c r="H66" s="286" t="e">
        <f t="shared" si="9"/>
        <v>#REF!</v>
      </c>
      <c r="I66" s="286" t="e">
        <f t="shared" si="9"/>
        <v>#REF!</v>
      </c>
    </row>
    <row r="67" spans="1:9" s="283" customFormat="1" ht="15.6" x14ac:dyDescent="0.25">
      <c r="A67" s="260"/>
      <c r="B67" s="260"/>
      <c r="C67" s="260"/>
      <c r="D67" s="260"/>
      <c r="E67" s="260"/>
      <c r="F67" s="260"/>
      <c r="G67" s="260"/>
      <c r="H67" s="260"/>
      <c r="I67" s="327"/>
    </row>
    <row r="68" spans="1:9" s="283" customFormat="1" ht="15.6" hidden="1" x14ac:dyDescent="0.3">
      <c r="A68" s="288" t="s">
        <v>231</v>
      </c>
      <c r="B68" s="328" t="e">
        <f>((B59*$B128)+(B60*$B129)+(B61*$B130))/$B132</f>
        <v>#REF!</v>
      </c>
      <c r="C68" s="328" t="e">
        <f t="shared" ref="C68:H68" si="10">((C59*$B128)+(C60*$B129)+(C61*$B130))/$B132</f>
        <v>#REF!</v>
      </c>
      <c r="D68" s="328" t="e">
        <f t="shared" si="10"/>
        <v>#REF!</v>
      </c>
      <c r="E68" s="328" t="e">
        <f t="shared" si="10"/>
        <v>#REF!</v>
      </c>
      <c r="F68" s="328" t="e">
        <f t="shared" si="10"/>
        <v>#REF!</v>
      </c>
      <c r="G68" s="328" t="e">
        <f t="shared" si="10"/>
        <v>#REF!</v>
      </c>
      <c r="H68" s="328" t="e">
        <f t="shared" si="10"/>
        <v>#REF!</v>
      </c>
      <c r="I68" s="327"/>
    </row>
    <row r="69" spans="1:9" s="283" customFormat="1" ht="15.6" hidden="1" x14ac:dyDescent="0.3">
      <c r="A69" s="288"/>
      <c r="B69" s="288"/>
      <c r="C69" s="288"/>
      <c r="D69" s="288"/>
      <c r="E69" s="288"/>
      <c r="F69" s="288"/>
      <c r="G69" s="288"/>
      <c r="H69" s="288"/>
      <c r="I69" s="327"/>
    </row>
    <row r="70" spans="1:9" s="283" customFormat="1" ht="15.6" hidden="1" x14ac:dyDescent="0.3">
      <c r="A70" s="339" t="s">
        <v>246</v>
      </c>
      <c r="B70" s="340" t="e">
        <f t="shared" ref="B70:H71" si="11">(B43*$B128)+(B38*$B128)+(((B54*$B128))*20)</f>
        <v>#REF!</v>
      </c>
      <c r="C70" s="340" t="e">
        <f t="shared" si="11"/>
        <v>#REF!</v>
      </c>
      <c r="D70" s="340" t="e">
        <f t="shared" si="11"/>
        <v>#REF!</v>
      </c>
      <c r="E70" s="340" t="e">
        <f t="shared" si="11"/>
        <v>#REF!</v>
      </c>
      <c r="F70" s="340" t="e">
        <f t="shared" si="11"/>
        <v>#REF!</v>
      </c>
      <c r="G70" s="340" t="e">
        <f t="shared" si="11"/>
        <v>#REF!</v>
      </c>
      <c r="H70" s="305" t="e">
        <f t="shared" si="11"/>
        <v>#REF!</v>
      </c>
      <c r="I70" s="327"/>
    </row>
    <row r="71" spans="1:9" s="283" customFormat="1" ht="15.6" hidden="1" x14ac:dyDescent="0.3">
      <c r="A71" s="341" t="s">
        <v>247</v>
      </c>
      <c r="B71" s="342" t="e">
        <f t="shared" si="11"/>
        <v>#REF!</v>
      </c>
      <c r="C71" s="342" t="e">
        <f t="shared" si="11"/>
        <v>#REF!</v>
      </c>
      <c r="D71" s="342" t="e">
        <f t="shared" si="11"/>
        <v>#REF!</v>
      </c>
      <c r="E71" s="342" t="e">
        <f t="shared" si="11"/>
        <v>#REF!</v>
      </c>
      <c r="F71" s="342" t="e">
        <f t="shared" si="11"/>
        <v>#REF!</v>
      </c>
      <c r="G71" s="342" t="e">
        <f t="shared" si="11"/>
        <v>#REF!</v>
      </c>
      <c r="H71" s="343" t="e">
        <f t="shared" si="11"/>
        <v>#REF!</v>
      </c>
      <c r="I71" s="327"/>
    </row>
    <row r="72" spans="1:9" s="283" customFormat="1" ht="15.6" hidden="1" x14ac:dyDescent="0.3">
      <c r="A72" s="341" t="s">
        <v>248</v>
      </c>
      <c r="B72" s="342" t="e">
        <f t="shared" ref="B72:H72" si="12">(B40*$B130)+(((B56*$B130))*20)</f>
        <v>#REF!</v>
      </c>
      <c r="C72" s="342" t="e">
        <f t="shared" si="12"/>
        <v>#REF!</v>
      </c>
      <c r="D72" s="342" t="e">
        <f t="shared" si="12"/>
        <v>#REF!</v>
      </c>
      <c r="E72" s="342" t="e">
        <f t="shared" si="12"/>
        <v>#REF!</v>
      </c>
      <c r="F72" s="342" t="e">
        <f t="shared" si="12"/>
        <v>#REF!</v>
      </c>
      <c r="G72" s="342" t="e">
        <f t="shared" si="12"/>
        <v>#REF!</v>
      </c>
      <c r="H72" s="343" t="e">
        <f t="shared" si="12"/>
        <v>#REF!</v>
      </c>
      <c r="I72" s="327"/>
    </row>
    <row r="73" spans="1:9" s="283" customFormat="1" ht="15.6" hidden="1" x14ac:dyDescent="0.3">
      <c r="A73" s="341" t="s">
        <v>249</v>
      </c>
      <c r="B73" s="342" t="e">
        <f t="shared" ref="B73:H73" si="13">(((B48*$B128)+(B49*$B129)+(B50*$B130))*$F$132)+(B13*20)</f>
        <v>#REF!</v>
      </c>
      <c r="C73" s="342" t="e">
        <f t="shared" si="13"/>
        <v>#REF!</v>
      </c>
      <c r="D73" s="342" t="e">
        <f t="shared" si="13"/>
        <v>#REF!</v>
      </c>
      <c r="E73" s="342" t="e">
        <f t="shared" si="13"/>
        <v>#REF!</v>
      </c>
      <c r="F73" s="342" t="e">
        <f t="shared" si="13"/>
        <v>#REF!</v>
      </c>
      <c r="G73" s="342" t="e">
        <f t="shared" si="13"/>
        <v>#REF!</v>
      </c>
      <c r="H73" s="343" t="e">
        <f t="shared" si="13"/>
        <v>#REF!</v>
      </c>
      <c r="I73" s="327"/>
    </row>
    <row r="74" spans="1:9" s="283" customFormat="1" ht="15.6" hidden="1" x14ac:dyDescent="0.3">
      <c r="A74" s="341" t="s">
        <v>250</v>
      </c>
      <c r="B74" s="342"/>
      <c r="C74" s="342"/>
      <c r="D74" s="342"/>
      <c r="E74" s="342"/>
      <c r="F74" s="342"/>
      <c r="G74" s="342"/>
      <c r="H74" s="343"/>
      <c r="I74" s="327"/>
    </row>
    <row r="75" spans="1:9" s="283" customFormat="1" ht="15.6" hidden="1" x14ac:dyDescent="0.3">
      <c r="A75" s="344" t="s">
        <v>251</v>
      </c>
      <c r="B75" s="345"/>
      <c r="C75" s="345"/>
      <c r="D75" s="345"/>
      <c r="E75" s="345"/>
      <c r="F75" s="345"/>
      <c r="G75" s="345"/>
      <c r="H75" s="306"/>
      <c r="I75" s="327"/>
    </row>
    <row r="76" spans="1:9" s="283" customFormat="1" ht="15.6" hidden="1" x14ac:dyDescent="0.3">
      <c r="A76" s="346" t="s">
        <v>4</v>
      </c>
      <c r="B76" s="347" t="e">
        <f>SUM(B70:B75)</f>
        <v>#REF!</v>
      </c>
      <c r="C76" s="347" t="e">
        <f t="shared" ref="C76:H76" si="14">SUM(C70:C75)</f>
        <v>#REF!</v>
      </c>
      <c r="D76" s="347" t="e">
        <f t="shared" si="14"/>
        <v>#REF!</v>
      </c>
      <c r="E76" s="347" t="e">
        <f t="shared" si="14"/>
        <v>#REF!</v>
      </c>
      <c r="F76" s="347" t="e">
        <f t="shared" si="14"/>
        <v>#REF!</v>
      </c>
      <c r="G76" s="347" t="e">
        <f t="shared" si="14"/>
        <v>#REF!</v>
      </c>
      <c r="H76" s="314" t="e">
        <f t="shared" si="14"/>
        <v>#REF!</v>
      </c>
      <c r="I76" s="327"/>
    </row>
    <row r="77" spans="1:9" s="283" customFormat="1" ht="15.6" hidden="1" x14ac:dyDescent="0.3">
      <c r="A77" s="288"/>
      <c r="B77" s="328" t="e">
        <f>B17-B76</f>
        <v>#REF!</v>
      </c>
      <c r="C77" s="328" t="e">
        <f t="shared" ref="C77:H77" si="15">C17-C76</f>
        <v>#REF!</v>
      </c>
      <c r="D77" s="328" t="e">
        <f t="shared" si="15"/>
        <v>#REF!</v>
      </c>
      <c r="E77" s="328" t="e">
        <f t="shared" si="15"/>
        <v>#REF!</v>
      </c>
      <c r="F77" s="328" t="e">
        <f t="shared" si="15"/>
        <v>#REF!</v>
      </c>
      <c r="G77" s="328" t="e">
        <f t="shared" si="15"/>
        <v>#REF!</v>
      </c>
      <c r="H77" s="328" t="e">
        <f t="shared" si="15"/>
        <v>#REF!</v>
      </c>
      <c r="I77" s="327"/>
    </row>
    <row r="78" spans="1:9" s="283" customFormat="1" ht="15.6" hidden="1" x14ac:dyDescent="0.3">
      <c r="A78" s="288" t="s">
        <v>254</v>
      </c>
      <c r="B78" s="288"/>
      <c r="C78" s="288"/>
      <c r="D78" s="288"/>
      <c r="E78" s="288"/>
      <c r="F78" s="288"/>
      <c r="G78" s="288"/>
      <c r="H78" s="288"/>
      <c r="I78" s="327"/>
    </row>
    <row r="79" spans="1:9" s="283" customFormat="1" ht="15.6" hidden="1" x14ac:dyDescent="0.3">
      <c r="A79" s="339" t="s">
        <v>252</v>
      </c>
      <c r="B79" s="340" t="e">
        <f>(B38*$B128)+(B39*$B129)+(B40*$B130)</f>
        <v>#REF!</v>
      </c>
      <c r="C79" s="340" t="e">
        <f t="shared" ref="C79:H79" si="16">(C38*$B128)+(C39*$B129)+(C40*$B130)</f>
        <v>#REF!</v>
      </c>
      <c r="D79" s="340" t="e">
        <f t="shared" si="16"/>
        <v>#REF!</v>
      </c>
      <c r="E79" s="340" t="e">
        <f t="shared" si="16"/>
        <v>#REF!</v>
      </c>
      <c r="F79" s="340" t="e">
        <f t="shared" si="16"/>
        <v>#REF!</v>
      </c>
      <c r="G79" s="340" t="e">
        <f t="shared" si="16"/>
        <v>#REF!</v>
      </c>
      <c r="H79" s="305" t="e">
        <f t="shared" si="16"/>
        <v>#REF!</v>
      </c>
      <c r="I79" s="327"/>
    </row>
    <row r="80" spans="1:9" s="283" customFormat="1" ht="15.6" hidden="1" x14ac:dyDescent="0.3">
      <c r="A80" s="341" t="s">
        <v>188</v>
      </c>
      <c r="B80" s="342">
        <f>(B43*$B128)+(B44*$B129)</f>
        <v>0</v>
      </c>
      <c r="C80" s="342">
        <f t="shared" ref="C80:H80" si="17">(C43*$B128)+(C44*$B129)</f>
        <v>0</v>
      </c>
      <c r="D80" s="342">
        <f t="shared" si="17"/>
        <v>0</v>
      </c>
      <c r="E80" s="342">
        <f t="shared" si="17"/>
        <v>0</v>
      </c>
      <c r="F80" s="342">
        <f t="shared" si="17"/>
        <v>0</v>
      </c>
      <c r="G80" s="342">
        <f t="shared" si="17"/>
        <v>0</v>
      </c>
      <c r="H80" s="343">
        <f t="shared" si="17"/>
        <v>0</v>
      </c>
      <c r="I80" s="327"/>
    </row>
    <row r="81" spans="1:9" s="283" customFormat="1" ht="15.6" hidden="1" x14ac:dyDescent="0.3">
      <c r="A81" s="341" t="s">
        <v>253</v>
      </c>
      <c r="B81" s="342" t="e">
        <f>((B48*$B128)+(B49*$B129)+(B50*$B130))*20</f>
        <v>#REF!</v>
      </c>
      <c r="C81" s="342" t="e">
        <f t="shared" ref="C81:H81" si="18">((C48*$B128)+(C49*$B129)+(C50*$B130))*20</f>
        <v>#REF!</v>
      </c>
      <c r="D81" s="342" t="e">
        <f t="shared" si="18"/>
        <v>#REF!</v>
      </c>
      <c r="E81" s="342" t="e">
        <f t="shared" si="18"/>
        <v>#REF!</v>
      </c>
      <c r="F81" s="342" t="e">
        <f t="shared" si="18"/>
        <v>#REF!</v>
      </c>
      <c r="G81" s="342" t="e">
        <f t="shared" si="18"/>
        <v>#REF!</v>
      </c>
      <c r="H81" s="343" t="e">
        <f t="shared" si="18"/>
        <v>#REF!</v>
      </c>
      <c r="I81" s="327"/>
    </row>
    <row r="82" spans="1:9" s="283" customFormat="1" ht="15.6" hidden="1" x14ac:dyDescent="0.3">
      <c r="A82" s="341" t="s">
        <v>259</v>
      </c>
      <c r="B82" s="342" t="e">
        <f>((B54*$B128)+(B55*$B129)+(B56*$B130))*20</f>
        <v>#REF!</v>
      </c>
      <c r="C82" s="342" t="e">
        <f t="shared" ref="C82:H82" si="19">((C54*$B128)+(C55*$B129)+(C56*$B130))*20</f>
        <v>#REF!</v>
      </c>
      <c r="D82" s="342" t="e">
        <f t="shared" si="19"/>
        <v>#REF!</v>
      </c>
      <c r="E82" s="342" t="e">
        <f t="shared" si="19"/>
        <v>#REF!</v>
      </c>
      <c r="F82" s="342" t="e">
        <f t="shared" si="19"/>
        <v>#REF!</v>
      </c>
      <c r="G82" s="342" t="e">
        <f t="shared" si="19"/>
        <v>#REF!</v>
      </c>
      <c r="H82" s="343" t="e">
        <f t="shared" si="19"/>
        <v>#REF!</v>
      </c>
      <c r="I82" s="327"/>
    </row>
    <row r="83" spans="1:9" s="283" customFormat="1" ht="15.6" hidden="1" x14ac:dyDescent="0.3">
      <c r="A83" s="341" t="s">
        <v>187</v>
      </c>
      <c r="B83" s="342">
        <f>B13</f>
        <v>0</v>
      </c>
      <c r="C83" s="342">
        <f t="shared" ref="C83:F83" si="20">C13</f>
        <v>0</v>
      </c>
      <c r="D83" s="342">
        <f t="shared" si="20"/>
        <v>0</v>
      </c>
      <c r="E83" s="342">
        <f t="shared" si="20"/>
        <v>0</v>
      </c>
      <c r="F83" s="342">
        <f t="shared" si="20"/>
        <v>0</v>
      </c>
      <c r="G83" s="342">
        <f>G13*20</f>
        <v>11680000</v>
      </c>
      <c r="H83" s="342">
        <f>H13*20</f>
        <v>11680000</v>
      </c>
      <c r="I83" s="327"/>
    </row>
    <row r="84" spans="1:9" s="283" customFormat="1" ht="15.6" hidden="1" x14ac:dyDescent="0.3">
      <c r="A84" s="344" t="s">
        <v>5</v>
      </c>
      <c r="B84" s="345"/>
      <c r="C84" s="345"/>
      <c r="D84" s="345"/>
      <c r="E84" s="345"/>
      <c r="F84" s="345"/>
      <c r="G84" s="345"/>
      <c r="H84" s="306"/>
      <c r="I84" s="327"/>
    </row>
    <row r="85" spans="1:9" s="283" customFormat="1" ht="15.6" hidden="1" x14ac:dyDescent="0.3">
      <c r="A85" s="346" t="s">
        <v>4</v>
      </c>
      <c r="B85" s="347" t="e">
        <f>SUM(B79:B84)</f>
        <v>#REF!</v>
      </c>
      <c r="C85" s="347" t="e">
        <f t="shared" ref="C85:H85" si="21">SUM(C79:C84)</f>
        <v>#REF!</v>
      </c>
      <c r="D85" s="347" t="e">
        <f t="shared" si="21"/>
        <v>#REF!</v>
      </c>
      <c r="E85" s="347" t="e">
        <f t="shared" si="21"/>
        <v>#REF!</v>
      </c>
      <c r="F85" s="347" t="e">
        <f t="shared" si="21"/>
        <v>#REF!</v>
      </c>
      <c r="G85" s="347" t="e">
        <f t="shared" si="21"/>
        <v>#REF!</v>
      </c>
      <c r="H85" s="314" t="e">
        <f t="shared" si="21"/>
        <v>#REF!</v>
      </c>
      <c r="I85" s="327"/>
    </row>
    <row r="86" spans="1:9" s="283" customFormat="1" ht="15.6" hidden="1" x14ac:dyDescent="0.3">
      <c r="A86" s="288"/>
      <c r="B86" s="328" t="e">
        <f>B17-B85</f>
        <v>#REF!</v>
      </c>
      <c r="C86" s="328" t="e">
        <f t="shared" ref="C86:H86" si="22">C17-C85</f>
        <v>#REF!</v>
      </c>
      <c r="D86" s="328" t="e">
        <f t="shared" si="22"/>
        <v>#REF!</v>
      </c>
      <c r="E86" s="328" t="e">
        <f t="shared" si="22"/>
        <v>#REF!</v>
      </c>
      <c r="F86" s="328" t="e">
        <f t="shared" si="22"/>
        <v>#REF!</v>
      </c>
      <c r="G86" s="328" t="e">
        <f t="shared" si="22"/>
        <v>#REF!</v>
      </c>
      <c r="H86" s="328" t="e">
        <f t="shared" si="22"/>
        <v>#REF!</v>
      </c>
      <c r="I86" s="327"/>
    </row>
    <row r="87" spans="1:9" s="283" customFormat="1" ht="15.6" hidden="1" x14ac:dyDescent="0.3">
      <c r="A87" s="288" t="s">
        <v>255</v>
      </c>
      <c r="B87" s="288"/>
      <c r="C87" s="288"/>
      <c r="D87" s="288"/>
      <c r="E87" s="288"/>
      <c r="F87" s="288"/>
      <c r="G87" s="288"/>
      <c r="H87" s="288"/>
      <c r="I87" s="327"/>
    </row>
    <row r="88" spans="1:9" s="283" customFormat="1" ht="15.6" hidden="1" x14ac:dyDescent="0.3">
      <c r="A88" s="339" t="s">
        <v>252</v>
      </c>
      <c r="B88" s="340" t="e">
        <f>(B38*$B$128)</f>
        <v>#REF!</v>
      </c>
      <c r="C88" s="340" t="e">
        <f t="shared" ref="C88:H88" si="23">(C38*$B$128)</f>
        <v>#REF!</v>
      </c>
      <c r="D88" s="340" t="e">
        <f t="shared" si="23"/>
        <v>#REF!</v>
      </c>
      <c r="E88" s="340" t="e">
        <f t="shared" si="23"/>
        <v>#REF!</v>
      </c>
      <c r="F88" s="340" t="e">
        <f t="shared" si="23"/>
        <v>#REF!</v>
      </c>
      <c r="G88" s="340" t="e">
        <f t="shared" si="23"/>
        <v>#REF!</v>
      </c>
      <c r="H88" s="305" t="e">
        <f t="shared" si="23"/>
        <v>#REF!</v>
      </c>
      <c r="I88" s="327"/>
    </row>
    <row r="89" spans="1:9" s="283" customFormat="1" ht="15.6" hidden="1" x14ac:dyDescent="0.3">
      <c r="A89" s="341" t="s">
        <v>188</v>
      </c>
      <c r="B89" s="342">
        <f>(B43*$B$128)</f>
        <v>0</v>
      </c>
      <c r="C89" s="342">
        <f t="shared" ref="C89:H89" si="24">(C43*$B$128)</f>
        <v>0</v>
      </c>
      <c r="D89" s="342">
        <f t="shared" si="24"/>
        <v>0</v>
      </c>
      <c r="E89" s="342">
        <f t="shared" si="24"/>
        <v>0</v>
      </c>
      <c r="F89" s="342">
        <f t="shared" si="24"/>
        <v>0</v>
      </c>
      <c r="G89" s="342">
        <f t="shared" si="24"/>
        <v>0</v>
      </c>
      <c r="H89" s="343">
        <f t="shared" si="24"/>
        <v>0</v>
      </c>
      <c r="I89" s="327"/>
    </row>
    <row r="90" spans="1:9" s="283" customFormat="1" ht="15.6" hidden="1" x14ac:dyDescent="0.3">
      <c r="A90" s="341" t="s">
        <v>253</v>
      </c>
      <c r="B90" s="342" t="e">
        <f>(B48*$B$128)*20</f>
        <v>#REF!</v>
      </c>
      <c r="C90" s="342" t="e">
        <f t="shared" ref="C90:H90" si="25">(C48*$B$128)*20</f>
        <v>#REF!</v>
      </c>
      <c r="D90" s="342" t="e">
        <f t="shared" si="25"/>
        <v>#REF!</v>
      </c>
      <c r="E90" s="342" t="e">
        <f t="shared" si="25"/>
        <v>#REF!</v>
      </c>
      <c r="F90" s="342" t="e">
        <f t="shared" si="25"/>
        <v>#REF!</v>
      </c>
      <c r="G90" s="342" t="e">
        <f t="shared" si="25"/>
        <v>#REF!</v>
      </c>
      <c r="H90" s="343" t="e">
        <f t="shared" si="25"/>
        <v>#REF!</v>
      </c>
      <c r="I90" s="327"/>
    </row>
    <row r="91" spans="1:9" s="283" customFormat="1" ht="15.6" hidden="1" x14ac:dyDescent="0.3">
      <c r="A91" s="341" t="s">
        <v>259</v>
      </c>
      <c r="B91" s="342" t="e">
        <f>(B54*$B$128)*20</f>
        <v>#REF!</v>
      </c>
      <c r="C91" s="342" t="e">
        <f t="shared" ref="C91:H91" si="26">(C54*$B$128)*20</f>
        <v>#REF!</v>
      </c>
      <c r="D91" s="342" t="e">
        <f t="shared" si="26"/>
        <v>#REF!</v>
      </c>
      <c r="E91" s="342" t="e">
        <f t="shared" si="26"/>
        <v>#REF!</v>
      </c>
      <c r="F91" s="342" t="e">
        <f t="shared" si="26"/>
        <v>#REF!</v>
      </c>
      <c r="G91" s="342" t="e">
        <f t="shared" si="26"/>
        <v>#REF!</v>
      </c>
      <c r="H91" s="343" t="e">
        <f t="shared" si="26"/>
        <v>#REF!</v>
      </c>
      <c r="I91" s="327"/>
    </row>
    <row r="92" spans="1:9" s="283" customFormat="1" ht="15.6" hidden="1" x14ac:dyDescent="0.3">
      <c r="A92" s="341" t="s">
        <v>187</v>
      </c>
      <c r="B92" s="342">
        <f t="shared" ref="B92:F92" si="27">(B$13*20)/3</f>
        <v>0</v>
      </c>
      <c r="C92" s="342">
        <f t="shared" si="27"/>
        <v>0</v>
      </c>
      <c r="D92" s="342">
        <f t="shared" si="27"/>
        <v>0</v>
      </c>
      <c r="E92" s="342">
        <f t="shared" si="27"/>
        <v>0</v>
      </c>
      <c r="F92" s="342">
        <f t="shared" si="27"/>
        <v>0</v>
      </c>
      <c r="G92" s="342">
        <f>(G$13*20)/3</f>
        <v>3893333.3333333335</v>
      </c>
      <c r="H92" s="343">
        <f t="shared" ref="H92" si="28">(H$13*20)/3</f>
        <v>3893333.3333333335</v>
      </c>
      <c r="I92" s="327"/>
    </row>
    <row r="93" spans="1:9" s="283" customFormat="1" ht="15.6" hidden="1" x14ac:dyDescent="0.3">
      <c r="A93" s="344" t="s">
        <v>5</v>
      </c>
      <c r="B93" s="345"/>
      <c r="C93" s="345"/>
      <c r="D93" s="345"/>
      <c r="E93" s="345"/>
      <c r="F93" s="345"/>
      <c r="G93" s="345"/>
      <c r="H93" s="306"/>
      <c r="I93" s="327"/>
    </row>
    <row r="94" spans="1:9" s="283" customFormat="1" ht="15.6" hidden="1" x14ac:dyDescent="0.3">
      <c r="A94" s="346" t="s">
        <v>4</v>
      </c>
      <c r="B94" s="347" t="e">
        <f>SUM(B88:B93)</f>
        <v>#REF!</v>
      </c>
      <c r="C94" s="347" t="e">
        <f t="shared" ref="C94:H94" si="29">SUM(C88:C93)</f>
        <v>#REF!</v>
      </c>
      <c r="D94" s="347" t="e">
        <f t="shared" si="29"/>
        <v>#REF!</v>
      </c>
      <c r="E94" s="347" t="e">
        <f t="shared" si="29"/>
        <v>#REF!</v>
      </c>
      <c r="F94" s="347" t="e">
        <f t="shared" si="29"/>
        <v>#REF!</v>
      </c>
      <c r="G94" s="347" t="e">
        <f t="shared" si="29"/>
        <v>#REF!</v>
      </c>
      <c r="H94" s="314" t="e">
        <f t="shared" si="29"/>
        <v>#REF!</v>
      </c>
      <c r="I94" s="327"/>
    </row>
    <row r="95" spans="1:9" s="283" customFormat="1" ht="15.6" hidden="1" x14ac:dyDescent="0.3">
      <c r="A95" s="288"/>
      <c r="B95" s="328" t="e">
        <f>B26-B94</f>
        <v>#REF!</v>
      </c>
      <c r="C95" s="328" t="e">
        <f t="shared" ref="C95:H95" si="30">C26-C94</f>
        <v>#REF!</v>
      </c>
      <c r="D95" s="328" t="e">
        <f t="shared" si="30"/>
        <v>#REF!</v>
      </c>
      <c r="E95" s="328" t="e">
        <f t="shared" si="30"/>
        <v>#REF!</v>
      </c>
      <c r="F95" s="328" t="e">
        <f t="shared" si="30"/>
        <v>#REF!</v>
      </c>
      <c r="G95" s="328" t="e">
        <f t="shared" si="30"/>
        <v>#REF!</v>
      </c>
      <c r="H95" s="328" t="e">
        <f t="shared" si="30"/>
        <v>#REF!</v>
      </c>
      <c r="I95" s="327"/>
    </row>
    <row r="96" spans="1:9" s="283" customFormat="1" ht="15.6" hidden="1" x14ac:dyDescent="0.3">
      <c r="A96" s="288" t="s">
        <v>256</v>
      </c>
      <c r="B96" s="288"/>
      <c r="C96" s="288"/>
      <c r="D96" s="288"/>
      <c r="E96" s="288"/>
      <c r="F96" s="288"/>
      <c r="G96" s="288"/>
      <c r="H96" s="288"/>
      <c r="I96" s="327"/>
    </row>
    <row r="97" spans="1:9" s="283" customFormat="1" ht="15.6" hidden="1" x14ac:dyDescent="0.3">
      <c r="A97" s="339" t="s">
        <v>252</v>
      </c>
      <c r="B97" s="340" t="e">
        <f>(B39*$B$129)</f>
        <v>#REF!</v>
      </c>
      <c r="C97" s="340" t="e">
        <f t="shared" ref="C97:H97" si="31">(C39*$B$129)</f>
        <v>#REF!</v>
      </c>
      <c r="D97" s="340" t="e">
        <f t="shared" si="31"/>
        <v>#REF!</v>
      </c>
      <c r="E97" s="340" t="e">
        <f t="shared" si="31"/>
        <v>#REF!</v>
      </c>
      <c r="F97" s="340" t="e">
        <f t="shared" si="31"/>
        <v>#REF!</v>
      </c>
      <c r="G97" s="340" t="e">
        <f t="shared" si="31"/>
        <v>#REF!</v>
      </c>
      <c r="H97" s="305" t="e">
        <f t="shared" si="31"/>
        <v>#REF!</v>
      </c>
      <c r="I97" s="327"/>
    </row>
    <row r="98" spans="1:9" s="283" customFormat="1" ht="15.6" hidden="1" x14ac:dyDescent="0.3">
      <c r="A98" s="341" t="s">
        <v>188</v>
      </c>
      <c r="B98" s="342">
        <f>(B44*$B$129)</f>
        <v>0</v>
      </c>
      <c r="C98" s="342">
        <f t="shared" ref="C98:H98" si="32">(C44*$B$129)</f>
        <v>0</v>
      </c>
      <c r="D98" s="342">
        <f t="shared" si="32"/>
        <v>0</v>
      </c>
      <c r="E98" s="342">
        <f t="shared" si="32"/>
        <v>0</v>
      </c>
      <c r="F98" s="342">
        <f t="shared" si="32"/>
        <v>0</v>
      </c>
      <c r="G98" s="342">
        <f t="shared" si="32"/>
        <v>0</v>
      </c>
      <c r="H98" s="343">
        <f t="shared" si="32"/>
        <v>0</v>
      </c>
      <c r="I98" s="327"/>
    </row>
    <row r="99" spans="1:9" s="283" customFormat="1" ht="15.6" hidden="1" x14ac:dyDescent="0.3">
      <c r="A99" s="341" t="s">
        <v>253</v>
      </c>
      <c r="B99" s="342" t="e">
        <f>(B49*$B$129)*20</f>
        <v>#REF!</v>
      </c>
      <c r="C99" s="342" t="e">
        <f t="shared" ref="C99:H99" si="33">(C49*$B$129)*20</f>
        <v>#REF!</v>
      </c>
      <c r="D99" s="342" t="e">
        <f t="shared" si="33"/>
        <v>#REF!</v>
      </c>
      <c r="E99" s="342" t="e">
        <f t="shared" si="33"/>
        <v>#REF!</v>
      </c>
      <c r="F99" s="342" t="e">
        <f t="shared" si="33"/>
        <v>#REF!</v>
      </c>
      <c r="G99" s="342" t="e">
        <f t="shared" si="33"/>
        <v>#REF!</v>
      </c>
      <c r="H99" s="343" t="e">
        <f t="shared" si="33"/>
        <v>#REF!</v>
      </c>
      <c r="I99" s="327"/>
    </row>
    <row r="100" spans="1:9" s="283" customFormat="1" ht="15.6" hidden="1" x14ac:dyDescent="0.3">
      <c r="A100" s="341" t="s">
        <v>259</v>
      </c>
      <c r="B100" s="342" t="e">
        <f>(B55*$B$129)*20</f>
        <v>#REF!</v>
      </c>
      <c r="C100" s="342" t="e">
        <f t="shared" ref="C100:H100" si="34">(C55*$B$129)*20</f>
        <v>#REF!</v>
      </c>
      <c r="D100" s="342" t="e">
        <f t="shared" si="34"/>
        <v>#REF!</v>
      </c>
      <c r="E100" s="342">
        <f t="shared" si="34"/>
        <v>2640599.3916679705</v>
      </c>
      <c r="F100" s="342">
        <f t="shared" si="34"/>
        <v>2640599.3916679705</v>
      </c>
      <c r="G100" s="342">
        <f t="shared" si="34"/>
        <v>1929296.1584813744</v>
      </c>
      <c r="H100" s="343">
        <f t="shared" si="34"/>
        <v>3302178.2125308388</v>
      </c>
      <c r="I100" s="327"/>
    </row>
    <row r="101" spans="1:9" s="283" customFormat="1" ht="15.6" hidden="1" x14ac:dyDescent="0.3">
      <c r="A101" s="341" t="s">
        <v>187</v>
      </c>
      <c r="B101" s="342">
        <f t="shared" ref="B101:H101" si="35">(B$13*20)/3</f>
        <v>0</v>
      </c>
      <c r="C101" s="342">
        <f t="shared" si="35"/>
        <v>0</v>
      </c>
      <c r="D101" s="342">
        <f t="shared" si="35"/>
        <v>0</v>
      </c>
      <c r="E101" s="342">
        <f t="shared" si="35"/>
        <v>0</v>
      </c>
      <c r="F101" s="342">
        <f t="shared" si="35"/>
        <v>0</v>
      </c>
      <c r="G101" s="342">
        <f t="shared" si="35"/>
        <v>3893333.3333333335</v>
      </c>
      <c r="H101" s="343">
        <f t="shared" si="35"/>
        <v>3893333.3333333335</v>
      </c>
      <c r="I101" s="327"/>
    </row>
    <row r="102" spans="1:9" s="283" customFormat="1" ht="15.6" hidden="1" x14ac:dyDescent="0.3">
      <c r="A102" s="344" t="s">
        <v>5</v>
      </c>
      <c r="B102" s="345"/>
      <c r="C102" s="345"/>
      <c r="D102" s="345"/>
      <c r="E102" s="345"/>
      <c r="F102" s="345"/>
      <c r="G102" s="345"/>
      <c r="H102" s="306"/>
      <c r="I102" s="327"/>
    </row>
    <row r="103" spans="1:9" s="283" customFormat="1" ht="15.6" hidden="1" x14ac:dyDescent="0.3">
      <c r="A103" s="346" t="s">
        <v>4</v>
      </c>
      <c r="B103" s="347" t="e">
        <f>SUM(B97:B102)</f>
        <v>#REF!</v>
      </c>
      <c r="C103" s="347" t="e">
        <f t="shared" ref="C103:H103" si="36">SUM(C97:C102)</f>
        <v>#REF!</v>
      </c>
      <c r="D103" s="347" t="e">
        <f t="shared" si="36"/>
        <v>#REF!</v>
      </c>
      <c r="E103" s="347" t="e">
        <f t="shared" si="36"/>
        <v>#REF!</v>
      </c>
      <c r="F103" s="347" t="e">
        <f t="shared" si="36"/>
        <v>#REF!</v>
      </c>
      <c r="G103" s="347" t="e">
        <f t="shared" si="36"/>
        <v>#REF!</v>
      </c>
      <c r="H103" s="314" t="e">
        <f t="shared" si="36"/>
        <v>#REF!</v>
      </c>
      <c r="I103" s="327"/>
    </row>
    <row r="104" spans="1:9" s="283" customFormat="1" ht="15.6" hidden="1" x14ac:dyDescent="0.3">
      <c r="A104" s="288"/>
      <c r="B104" s="328" t="e">
        <f>B35-B103</f>
        <v>#REF!</v>
      </c>
      <c r="C104" s="328" t="e">
        <f t="shared" ref="C104:H104" si="37">C35-C103</f>
        <v>#REF!</v>
      </c>
      <c r="D104" s="328" t="e">
        <f t="shared" si="37"/>
        <v>#REF!</v>
      </c>
      <c r="E104" s="328" t="e">
        <f t="shared" si="37"/>
        <v>#REF!</v>
      </c>
      <c r="F104" s="328" t="e">
        <f t="shared" si="37"/>
        <v>#REF!</v>
      </c>
      <c r="G104" s="328" t="e">
        <f t="shared" si="37"/>
        <v>#REF!</v>
      </c>
      <c r="H104" s="328" t="e">
        <f t="shared" si="37"/>
        <v>#REF!</v>
      </c>
      <c r="I104" s="327"/>
    </row>
    <row r="105" spans="1:9" s="283" customFormat="1" ht="15.6" hidden="1" x14ac:dyDescent="0.3">
      <c r="A105" s="288" t="s">
        <v>257</v>
      </c>
      <c r="B105" s="288"/>
      <c r="C105" s="288"/>
      <c r="D105" s="288"/>
      <c r="E105" s="288"/>
      <c r="F105" s="288"/>
      <c r="G105" s="288"/>
      <c r="H105" s="288"/>
      <c r="I105" s="327"/>
    </row>
    <row r="106" spans="1:9" s="283" customFormat="1" ht="15.6" hidden="1" x14ac:dyDescent="0.3">
      <c r="A106" s="339" t="s">
        <v>252</v>
      </c>
      <c r="B106" s="340" t="e">
        <f>(B40*$B$130)</f>
        <v>#REF!</v>
      </c>
      <c r="C106" s="340" t="e">
        <f t="shared" ref="C106:H106" si="38">(C40*$B$130)</f>
        <v>#REF!</v>
      </c>
      <c r="D106" s="340" t="e">
        <f t="shared" si="38"/>
        <v>#REF!</v>
      </c>
      <c r="E106" s="340" t="e">
        <f t="shared" si="38"/>
        <v>#REF!</v>
      </c>
      <c r="F106" s="340" t="e">
        <f t="shared" si="38"/>
        <v>#REF!</v>
      </c>
      <c r="G106" s="340" t="e">
        <f t="shared" si="38"/>
        <v>#REF!</v>
      </c>
      <c r="H106" s="305" t="e">
        <f t="shared" si="38"/>
        <v>#REF!</v>
      </c>
      <c r="I106" s="327"/>
    </row>
    <row r="107" spans="1:9" s="283" customFormat="1" ht="15.6" hidden="1" x14ac:dyDescent="0.3">
      <c r="A107" s="341" t="s">
        <v>188</v>
      </c>
      <c r="B107" s="342">
        <v>0</v>
      </c>
      <c r="C107" s="342">
        <v>0</v>
      </c>
      <c r="D107" s="342">
        <v>0</v>
      </c>
      <c r="E107" s="342">
        <v>0</v>
      </c>
      <c r="F107" s="342">
        <v>0</v>
      </c>
      <c r="G107" s="342">
        <v>0</v>
      </c>
      <c r="H107" s="343">
        <v>0</v>
      </c>
      <c r="I107" s="327"/>
    </row>
    <row r="108" spans="1:9" s="283" customFormat="1" ht="15.6" hidden="1" x14ac:dyDescent="0.3">
      <c r="A108" s="341" t="s">
        <v>253</v>
      </c>
      <c r="B108" s="342" t="e">
        <f>(B50*$B$130)*20</f>
        <v>#REF!</v>
      </c>
      <c r="C108" s="342" t="e">
        <f t="shared" ref="C108:H108" si="39">(C50*$B$130)*20</f>
        <v>#REF!</v>
      </c>
      <c r="D108" s="342" t="e">
        <f t="shared" si="39"/>
        <v>#REF!</v>
      </c>
      <c r="E108" s="342" t="e">
        <f t="shared" si="39"/>
        <v>#REF!</v>
      </c>
      <c r="F108" s="342" t="e">
        <f t="shared" si="39"/>
        <v>#REF!</v>
      </c>
      <c r="G108" s="342" t="e">
        <f t="shared" si="39"/>
        <v>#REF!</v>
      </c>
      <c r="H108" s="343" t="e">
        <f t="shared" si="39"/>
        <v>#REF!</v>
      </c>
      <c r="I108" s="327"/>
    </row>
    <row r="109" spans="1:9" s="283" customFormat="1" ht="15.6" hidden="1" x14ac:dyDescent="0.3">
      <c r="A109" s="341" t="s">
        <v>259</v>
      </c>
      <c r="B109" s="342" t="e">
        <f>(B56*$B$130)*20</f>
        <v>#REF!</v>
      </c>
      <c r="C109" s="342" t="e">
        <f t="shared" ref="C109:H109" si="40">(C56*$B$130)*20</f>
        <v>#REF!</v>
      </c>
      <c r="D109" s="342" t="e">
        <f t="shared" si="40"/>
        <v>#REF!</v>
      </c>
      <c r="E109" s="342">
        <f t="shared" si="40"/>
        <v>36996785.025197476</v>
      </c>
      <c r="F109" s="342">
        <f t="shared" si="40"/>
        <v>36996785.025197476</v>
      </c>
      <c r="G109" s="342">
        <f t="shared" si="40"/>
        <v>27030891.338722907</v>
      </c>
      <c r="H109" s="343">
        <f t="shared" si="40"/>
        <v>46266002.268039599</v>
      </c>
      <c r="I109" s="327"/>
    </row>
    <row r="110" spans="1:9" s="283" customFormat="1" ht="15.6" hidden="1" x14ac:dyDescent="0.3">
      <c r="A110" s="341" t="s">
        <v>187</v>
      </c>
      <c r="B110" s="342">
        <f t="shared" ref="B110:H110" si="41">(B$13*20)/3</f>
        <v>0</v>
      </c>
      <c r="C110" s="342">
        <f t="shared" si="41"/>
        <v>0</v>
      </c>
      <c r="D110" s="342">
        <f t="shared" si="41"/>
        <v>0</v>
      </c>
      <c r="E110" s="342">
        <f t="shared" si="41"/>
        <v>0</v>
      </c>
      <c r="F110" s="342">
        <f t="shared" si="41"/>
        <v>0</v>
      </c>
      <c r="G110" s="342">
        <f t="shared" si="41"/>
        <v>3893333.3333333335</v>
      </c>
      <c r="H110" s="343">
        <f t="shared" si="41"/>
        <v>3893333.3333333335</v>
      </c>
      <c r="I110" s="327"/>
    </row>
    <row r="111" spans="1:9" s="283" customFormat="1" ht="15.6" hidden="1" x14ac:dyDescent="0.3">
      <c r="A111" s="344" t="s">
        <v>5</v>
      </c>
      <c r="B111" s="345"/>
      <c r="C111" s="345"/>
      <c r="D111" s="345"/>
      <c r="E111" s="345"/>
      <c r="F111" s="345"/>
      <c r="G111" s="345"/>
      <c r="H111" s="306"/>
      <c r="I111" s="327"/>
    </row>
    <row r="112" spans="1:9" s="283" customFormat="1" ht="15.6" hidden="1" x14ac:dyDescent="0.3">
      <c r="A112" s="346" t="s">
        <v>4</v>
      </c>
      <c r="B112" s="347" t="e">
        <f>SUM(B106:B111)</f>
        <v>#REF!</v>
      </c>
      <c r="C112" s="347" t="e">
        <f t="shared" ref="C112:H112" si="42">SUM(C106:C111)</f>
        <v>#REF!</v>
      </c>
      <c r="D112" s="347" t="e">
        <f t="shared" si="42"/>
        <v>#REF!</v>
      </c>
      <c r="E112" s="347" t="e">
        <f t="shared" si="42"/>
        <v>#REF!</v>
      </c>
      <c r="F112" s="347" t="e">
        <f t="shared" si="42"/>
        <v>#REF!</v>
      </c>
      <c r="G112" s="347" t="e">
        <f t="shared" si="42"/>
        <v>#REF!</v>
      </c>
      <c r="H112" s="314" t="e">
        <f t="shared" si="42"/>
        <v>#REF!</v>
      </c>
      <c r="I112" s="327"/>
    </row>
    <row r="113" spans="1:9" s="283" customFormat="1" ht="15.6" hidden="1" x14ac:dyDescent="0.3">
      <c r="A113" s="288"/>
      <c r="B113" s="348" t="e">
        <f t="shared" ref="B113:H113" si="43">(B94+B103+B112)-B17</f>
        <v>#REF!</v>
      </c>
      <c r="C113" s="348" t="e">
        <f t="shared" si="43"/>
        <v>#REF!</v>
      </c>
      <c r="D113" s="348" t="e">
        <f t="shared" si="43"/>
        <v>#REF!</v>
      </c>
      <c r="E113" s="348" t="e">
        <f t="shared" si="43"/>
        <v>#REF!</v>
      </c>
      <c r="F113" s="348" t="e">
        <f t="shared" si="43"/>
        <v>#REF!</v>
      </c>
      <c r="G113" s="348" t="e">
        <f t="shared" si="43"/>
        <v>#REF!</v>
      </c>
      <c r="H113" s="348" t="e">
        <f t="shared" si="43"/>
        <v>#REF!</v>
      </c>
      <c r="I113" s="327"/>
    </row>
    <row r="114" spans="1:9" s="283" customFormat="1" ht="15.6" hidden="1" x14ac:dyDescent="0.3">
      <c r="A114" s="329" t="s">
        <v>232</v>
      </c>
      <c r="B114" s="288"/>
      <c r="C114" s="288"/>
      <c r="D114" s="288"/>
      <c r="E114" s="288"/>
      <c r="F114" s="288"/>
      <c r="G114" s="288"/>
      <c r="H114" s="288"/>
      <c r="I114" s="327"/>
    </row>
    <row r="115" spans="1:9" s="283" customFormat="1" ht="15.6" hidden="1" x14ac:dyDescent="0.3">
      <c r="A115" s="330" t="s">
        <v>233</v>
      </c>
      <c r="B115" s="331">
        <v>70</v>
      </c>
      <c r="C115" s="331">
        <v>70</v>
      </c>
      <c r="D115" s="331">
        <v>70</v>
      </c>
      <c r="E115" s="331">
        <v>70</v>
      </c>
      <c r="F115" s="331">
        <v>70</v>
      </c>
      <c r="G115" s="331">
        <v>70</v>
      </c>
      <c r="H115" s="331">
        <v>70</v>
      </c>
      <c r="I115" s="327"/>
    </row>
    <row r="116" spans="1:9" s="283" customFormat="1" ht="15.6" hidden="1" x14ac:dyDescent="0.3">
      <c r="A116" s="332" t="s">
        <v>234</v>
      </c>
      <c r="B116" s="331" t="e">
        <f>B$65-B115</f>
        <v>#REF!</v>
      </c>
      <c r="C116" s="331" t="e">
        <f t="shared" ref="C116:H116" si="44">C$65-C115</f>
        <v>#REF!</v>
      </c>
      <c r="D116" s="331" t="e">
        <f t="shared" si="44"/>
        <v>#REF!</v>
      </c>
      <c r="E116" s="331" t="e">
        <f t="shared" si="44"/>
        <v>#REF!</v>
      </c>
      <c r="F116" s="331" t="e">
        <f t="shared" si="44"/>
        <v>#REF!</v>
      </c>
      <c r="G116" s="331" t="e">
        <f t="shared" si="44"/>
        <v>#REF!</v>
      </c>
      <c r="H116" s="331" t="e">
        <f t="shared" si="44"/>
        <v>#REF!</v>
      </c>
      <c r="I116" s="327"/>
    </row>
    <row r="117" spans="1:9" s="283" customFormat="1" ht="15.6" hidden="1" x14ac:dyDescent="0.3">
      <c r="A117" s="333" t="s">
        <v>235</v>
      </c>
      <c r="B117" s="334">
        <f>(732+637+570)/3</f>
        <v>646.33333333333337</v>
      </c>
      <c r="C117" s="334">
        <f t="shared" ref="C117:H117" si="45">(732+637+570)/3</f>
        <v>646.33333333333337</v>
      </c>
      <c r="D117" s="334">
        <f t="shared" si="45"/>
        <v>646.33333333333337</v>
      </c>
      <c r="E117" s="334">
        <f t="shared" si="45"/>
        <v>646.33333333333337</v>
      </c>
      <c r="F117" s="334">
        <f t="shared" si="45"/>
        <v>646.33333333333337</v>
      </c>
      <c r="G117" s="334">
        <f t="shared" si="45"/>
        <v>646.33333333333337</v>
      </c>
      <c r="H117" s="334">
        <f t="shared" si="45"/>
        <v>646.33333333333337</v>
      </c>
      <c r="I117" s="327"/>
    </row>
    <row r="118" spans="1:9" s="283" customFormat="1" ht="15.6" hidden="1" x14ac:dyDescent="0.3">
      <c r="A118" s="335" t="s">
        <v>234</v>
      </c>
      <c r="B118" s="334" t="e">
        <f>B$65-B117</f>
        <v>#REF!</v>
      </c>
      <c r="C118" s="334" t="e">
        <f t="shared" ref="C118" si="46">C$65-C117</f>
        <v>#REF!</v>
      </c>
      <c r="D118" s="334" t="e">
        <f t="shared" ref="D118" si="47">D$65-D117</f>
        <v>#REF!</v>
      </c>
      <c r="E118" s="334" t="e">
        <f t="shared" ref="E118" si="48">E$65-E117</f>
        <v>#REF!</v>
      </c>
      <c r="F118" s="334" t="e">
        <f t="shared" ref="F118" si="49">F$65-F117</f>
        <v>#REF!</v>
      </c>
      <c r="G118" s="334" t="e">
        <f t="shared" ref="G118" si="50">G$65-G117</f>
        <v>#REF!</v>
      </c>
      <c r="H118" s="334" t="e">
        <f t="shared" ref="H118" si="51">H$65-H117</f>
        <v>#REF!</v>
      </c>
      <c r="I118" s="327"/>
    </row>
    <row r="119" spans="1:9" s="283" customFormat="1" ht="15.6" hidden="1" x14ac:dyDescent="0.3">
      <c r="A119" s="330" t="s">
        <v>236</v>
      </c>
      <c r="B119" s="331">
        <v>756</v>
      </c>
      <c r="C119" s="331">
        <v>756</v>
      </c>
      <c r="D119" s="331">
        <v>756</v>
      </c>
      <c r="E119" s="331">
        <v>756</v>
      </c>
      <c r="F119" s="331">
        <v>756</v>
      </c>
      <c r="G119" s="331">
        <v>756</v>
      </c>
      <c r="H119" s="331">
        <v>756</v>
      </c>
      <c r="I119" s="327"/>
    </row>
    <row r="120" spans="1:9" s="283" customFormat="1" ht="15.6" hidden="1" x14ac:dyDescent="0.3">
      <c r="A120" s="332" t="s">
        <v>234</v>
      </c>
      <c r="B120" s="331" t="e">
        <f>B$65-B119</f>
        <v>#REF!</v>
      </c>
      <c r="C120" s="331" t="e">
        <f t="shared" ref="C120" si="52">C$65-C119</f>
        <v>#REF!</v>
      </c>
      <c r="D120" s="331" t="e">
        <f t="shared" ref="D120" si="53">D$65-D119</f>
        <v>#REF!</v>
      </c>
      <c r="E120" s="331" t="e">
        <f t="shared" ref="E120" si="54">E$65-E119</f>
        <v>#REF!</v>
      </c>
      <c r="F120" s="331" t="e">
        <f t="shared" ref="F120" si="55">F$65-F119</f>
        <v>#REF!</v>
      </c>
      <c r="G120" s="331" t="e">
        <f t="shared" ref="G120" si="56">G$65-G119</f>
        <v>#REF!</v>
      </c>
      <c r="H120" s="331" t="e">
        <f t="shared" ref="H120" si="57">H$65-H119</f>
        <v>#REF!</v>
      </c>
      <c r="I120" s="327"/>
    </row>
    <row r="121" spans="1:9" ht="15.6" hidden="1" x14ac:dyDescent="0.3">
      <c r="A121" s="288" t="s">
        <v>245</v>
      </c>
      <c r="B121" s="326"/>
      <c r="C121" s="326"/>
      <c r="D121" s="326"/>
      <c r="E121" s="326"/>
      <c r="F121" s="326"/>
      <c r="G121" s="326"/>
      <c r="H121" s="326"/>
    </row>
    <row r="122" spans="1:9" ht="15.6" hidden="1" x14ac:dyDescent="0.3">
      <c r="A122" s="287" t="s">
        <v>179</v>
      </c>
    </row>
    <row r="123" spans="1:9" ht="15.6" hidden="1" x14ac:dyDescent="0.3">
      <c r="A123" s="287" t="s">
        <v>180</v>
      </c>
    </row>
    <row r="124" spans="1:9" ht="15.6" hidden="1" x14ac:dyDescent="0.3">
      <c r="A124" s="287"/>
    </row>
    <row r="125" spans="1:9" ht="15.6" x14ac:dyDescent="0.3">
      <c r="A125" s="417" t="s">
        <v>192</v>
      </c>
      <c r="B125" s="418"/>
      <c r="C125" s="418"/>
      <c r="D125" s="418"/>
      <c r="E125" s="418"/>
      <c r="F125" s="419"/>
    </row>
    <row r="126" spans="1:9" ht="15.6" x14ac:dyDescent="0.3">
      <c r="A126" s="287"/>
    </row>
    <row r="127" spans="1:9" ht="15.6" x14ac:dyDescent="0.3">
      <c r="A127" s="289" t="s">
        <v>181</v>
      </c>
      <c r="B127" s="301" t="s">
        <v>184</v>
      </c>
      <c r="C127" s="302" t="s">
        <v>185</v>
      </c>
      <c r="E127" s="415" t="s">
        <v>188</v>
      </c>
      <c r="F127" s="416"/>
    </row>
    <row r="128" spans="1:9" ht="15.6" x14ac:dyDescent="0.3">
      <c r="A128" s="290" t="s">
        <v>189</v>
      </c>
      <c r="B128" s="292">
        <v>349</v>
      </c>
      <c r="C128" s="295">
        <f>B128/B$132</f>
        <v>5.8823529411764705E-2</v>
      </c>
      <c r="E128" s="304" t="s">
        <v>189</v>
      </c>
      <c r="F128" s="305">
        <v>10000</v>
      </c>
    </row>
    <row r="129" spans="1:7" ht="15.6" x14ac:dyDescent="0.3">
      <c r="A129" s="291" t="s">
        <v>190</v>
      </c>
      <c r="B129" s="293">
        <v>372</v>
      </c>
      <c r="C129" s="296">
        <f t="shared" ref="C129:C131" si="58">B129/B$132</f>
        <v>6.2700151693915393E-2</v>
      </c>
      <c r="E129" s="298" t="s">
        <v>190</v>
      </c>
      <c r="F129" s="306">
        <v>8000</v>
      </c>
    </row>
    <row r="130" spans="1:7" ht="15.6" x14ac:dyDescent="0.3">
      <c r="A130" s="291" t="s">
        <v>182</v>
      </c>
      <c r="B130" s="293">
        <v>5212</v>
      </c>
      <c r="C130" s="296">
        <f t="shared" si="58"/>
        <v>0.87847631889431987</v>
      </c>
      <c r="E130" s="288"/>
      <c r="F130" s="307"/>
    </row>
    <row r="131" spans="1:7" ht="15.6" hidden="1" x14ac:dyDescent="0.3">
      <c r="A131" s="298" t="s">
        <v>183</v>
      </c>
      <c r="B131" s="294"/>
      <c r="C131" s="297">
        <f t="shared" si="58"/>
        <v>0</v>
      </c>
    </row>
    <row r="132" spans="1:7" ht="15.6" x14ac:dyDescent="0.3">
      <c r="A132" s="268" t="s">
        <v>4</v>
      </c>
      <c r="B132" s="299">
        <f>SUM(B128:B131)</f>
        <v>5933</v>
      </c>
      <c r="C132" s="300">
        <f>SUM(C128:C131)</f>
        <v>1</v>
      </c>
      <c r="E132" s="337" t="s">
        <v>191</v>
      </c>
      <c r="F132" s="309">
        <v>20</v>
      </c>
    </row>
    <row r="133" spans="1:7" ht="15.6" x14ac:dyDescent="0.3">
      <c r="A133" s="349"/>
      <c r="B133" s="350"/>
      <c r="C133" s="351"/>
    </row>
    <row r="134" spans="1:7" ht="15.6" hidden="1" x14ac:dyDescent="0.3">
      <c r="E134" s="336" t="s">
        <v>186</v>
      </c>
      <c r="F134" s="303">
        <v>0.28000000000000003</v>
      </c>
    </row>
    <row r="135" spans="1:7" ht="15.6" x14ac:dyDescent="0.3">
      <c r="A135" s="413" t="s">
        <v>187</v>
      </c>
      <c r="B135" s="414"/>
    </row>
    <row r="136" spans="1:7" ht="15.6" x14ac:dyDescent="0.3">
      <c r="A136" s="304" t="s">
        <v>193</v>
      </c>
      <c r="B136" s="310">
        <v>0.1</v>
      </c>
      <c r="E136" s="415" t="s">
        <v>221</v>
      </c>
      <c r="F136" s="416"/>
    </row>
    <row r="137" spans="1:7" ht="15.6" x14ac:dyDescent="0.3">
      <c r="A137" s="311" t="s">
        <v>194</v>
      </c>
      <c r="B137" s="312">
        <v>16000</v>
      </c>
      <c r="E137" s="304" t="s">
        <v>133</v>
      </c>
      <c r="F137" s="321">
        <v>0.05</v>
      </c>
    </row>
    <row r="138" spans="1:7" ht="15.6" x14ac:dyDescent="0.3">
      <c r="A138" s="298" t="s">
        <v>195</v>
      </c>
      <c r="B138" s="313">
        <v>365</v>
      </c>
      <c r="E138" s="311" t="s">
        <v>222</v>
      </c>
      <c r="F138" s="322">
        <v>0</v>
      </c>
    </row>
    <row r="139" spans="1:7" ht="15.6" x14ac:dyDescent="0.3">
      <c r="A139" s="268" t="s">
        <v>196</v>
      </c>
      <c r="B139" s="314">
        <f>B136*B137*B138</f>
        <v>584000</v>
      </c>
      <c r="E139" s="298" t="s">
        <v>224</v>
      </c>
      <c r="F139" s="323">
        <v>1</v>
      </c>
    </row>
    <row r="141" spans="1:7" ht="15.6" x14ac:dyDescent="0.3">
      <c r="A141" s="413" t="s">
        <v>263</v>
      </c>
      <c r="B141" s="414"/>
      <c r="E141" s="325" t="s">
        <v>223</v>
      </c>
      <c r="F141" s="325"/>
      <c r="G141" s="324"/>
    </row>
    <row r="142" spans="1:7" ht="15.6" x14ac:dyDescent="0.3">
      <c r="A142" s="304" t="s">
        <v>264</v>
      </c>
      <c r="B142" s="305">
        <v>1250000</v>
      </c>
      <c r="E142" s="325" t="s">
        <v>225</v>
      </c>
      <c r="F142" s="325"/>
      <c r="G142" s="325"/>
    </row>
    <row r="143" spans="1:7" ht="15.6" x14ac:dyDescent="0.3">
      <c r="A143" s="298" t="s">
        <v>265</v>
      </c>
      <c r="B143" s="306">
        <v>125000</v>
      </c>
      <c r="E143" s="325" t="s">
        <v>226</v>
      </c>
      <c r="F143" s="325"/>
      <c r="G143" s="325"/>
    </row>
    <row r="144" spans="1:7" ht="15.6" x14ac:dyDescent="0.3">
      <c r="E144" s="325" t="s">
        <v>227</v>
      </c>
      <c r="F144" s="325"/>
      <c r="G144" s="325"/>
    </row>
    <row r="145" spans="5:7" ht="15.6" x14ac:dyDescent="0.3">
      <c r="E145" s="325" t="s">
        <v>228</v>
      </c>
      <c r="F145" s="324"/>
      <c r="G145" s="324"/>
    </row>
  </sheetData>
  <mergeCells count="10">
    <mergeCell ref="A1:H1"/>
    <mergeCell ref="A2:H2"/>
    <mergeCell ref="A3:H3"/>
    <mergeCell ref="A4:H4"/>
    <mergeCell ref="B6:H6"/>
    <mergeCell ref="A141:B141"/>
    <mergeCell ref="E136:F136"/>
    <mergeCell ref="A125:F125"/>
    <mergeCell ref="E127:F127"/>
    <mergeCell ref="A135:B135"/>
  </mergeCells>
  <dataValidations count="1">
    <dataValidation type="list" allowBlank="1" showInputMessage="1" showErrorMessage="1" sqref="F137">
      <formula1>"2% above borrowing %, 5%"</formula1>
    </dataValidation>
  </dataValidations>
  <pageMargins left="0.25" right="0.25" top="0.75" bottom="0.75" header="0.3" footer="0.3"/>
  <pageSetup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17890" r:id="rId4" name="Button 2">
              <controlPr defaultSize="0" print="0" autoFill="0" autoPict="0" macro="[0]!CreateGraphsOutputCases">
                <anchor moveWithCells="1">
                  <from>
                    <xdr:col>6</xdr:col>
                    <xdr:colOff>411480</xdr:colOff>
                    <xdr:row>67</xdr:row>
                    <xdr:rowOff>0</xdr:rowOff>
                  </from>
                  <to>
                    <xdr:col>7</xdr:col>
                    <xdr:colOff>762000</xdr:colOff>
                    <xdr:row>125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0">
    <pageSetUpPr fitToPage="1"/>
  </sheetPr>
  <dimension ref="A1:J220"/>
  <sheetViews>
    <sheetView topLeftCell="A10" zoomScale="80" zoomScaleNormal="80" workbookViewId="0">
      <selection sqref="A1:I1"/>
    </sheetView>
  </sheetViews>
  <sheetFormatPr defaultColWidth="8.90625" defaultRowHeight="15" x14ac:dyDescent="0.25"/>
  <cols>
    <col min="1" max="1" width="40.90625" style="260" customWidth="1"/>
    <col min="2" max="2" width="15.81640625" style="260" customWidth="1"/>
    <col min="3" max="4" width="11.54296875" style="260" customWidth="1"/>
    <col min="5" max="5" width="13.81640625" style="260" customWidth="1"/>
    <col min="6" max="9" width="15.54296875" style="260" customWidth="1"/>
    <col min="10" max="10" width="15.1796875" style="260" hidden="1" customWidth="1"/>
    <col min="11" max="16384" width="8.90625" style="260"/>
  </cols>
  <sheetData>
    <row r="1" spans="1:10" ht="17.399999999999999" x14ac:dyDescent="0.3">
      <c r="A1" s="420" t="s">
        <v>201</v>
      </c>
      <c r="B1" s="420"/>
      <c r="C1" s="420"/>
      <c r="D1" s="420"/>
      <c r="E1" s="420"/>
      <c r="F1" s="420"/>
      <c r="G1" s="420"/>
      <c r="H1" s="420"/>
      <c r="I1" s="420"/>
    </row>
    <row r="2" spans="1:10" ht="17.399999999999999" x14ac:dyDescent="0.3">
      <c r="A2" s="420" t="s">
        <v>200</v>
      </c>
      <c r="B2" s="420"/>
      <c r="C2" s="420"/>
      <c r="D2" s="420"/>
      <c r="E2" s="420"/>
      <c r="F2" s="420"/>
      <c r="G2" s="420"/>
      <c r="H2" s="420"/>
      <c r="I2" s="420"/>
    </row>
    <row r="3" spans="1:10" ht="17.399999999999999" x14ac:dyDescent="0.3">
      <c r="A3" s="421" t="s">
        <v>155</v>
      </c>
      <c r="B3" s="421"/>
      <c r="C3" s="421"/>
      <c r="D3" s="421"/>
      <c r="E3" s="421"/>
      <c r="F3" s="421"/>
      <c r="G3" s="421"/>
      <c r="H3" s="421"/>
      <c r="I3" s="421"/>
    </row>
    <row r="4" spans="1:10" ht="24.75" customHeight="1" x14ac:dyDescent="0.25">
      <c r="A4" s="422" t="s">
        <v>156</v>
      </c>
      <c r="B4" s="422"/>
      <c r="C4" s="422"/>
      <c r="D4" s="422"/>
      <c r="E4" s="422"/>
      <c r="F4" s="422"/>
      <c r="G4" s="422"/>
      <c r="H4" s="422"/>
      <c r="I4" s="422"/>
    </row>
    <row r="5" spans="1:10" ht="6.75" customHeight="1" x14ac:dyDescent="0.25"/>
    <row r="6" spans="1:10" ht="15.6" x14ac:dyDescent="0.3">
      <c r="B6" s="423" t="s">
        <v>157</v>
      </c>
      <c r="C6" s="423"/>
      <c r="D6" s="423"/>
      <c r="E6" s="423"/>
      <c r="F6" s="423"/>
      <c r="G6" s="423"/>
      <c r="H6" s="423"/>
      <c r="I6" s="423"/>
    </row>
    <row r="7" spans="1:10" ht="15.6" x14ac:dyDescent="0.3">
      <c r="B7" s="353" t="s">
        <v>219</v>
      </c>
      <c r="C7" s="354" t="s">
        <v>158</v>
      </c>
      <c r="D7" s="354" t="s">
        <v>159</v>
      </c>
      <c r="E7" s="354" t="s">
        <v>160</v>
      </c>
      <c r="F7" s="354" t="s">
        <v>161</v>
      </c>
      <c r="G7" s="354" t="s">
        <v>162</v>
      </c>
      <c r="H7" s="354" t="s">
        <v>163</v>
      </c>
      <c r="I7" s="354" t="s">
        <v>292</v>
      </c>
    </row>
    <row r="8" spans="1:10" ht="87.75" customHeight="1" x14ac:dyDescent="0.25">
      <c r="A8" s="262" t="s">
        <v>164</v>
      </c>
      <c r="B8" s="263" t="s">
        <v>220</v>
      </c>
      <c r="C8" s="263" t="str">
        <f>"Case 1 with Taxes For Area Only   "&amp;TEXT(C11,"0%")&amp;" "&amp;TEXT(C10,"0")&amp;"-year SRF"</f>
        <v>Case 1 with Taxes For Area Only   2% 20-year SRF</v>
      </c>
      <c r="D8" s="263" t="str">
        <f>"Case 1 with Taxes For Area Only   "&amp;TEXT(D11,"0%")&amp;" "&amp;TEXT(D10,"0")&amp;"-year SRF"</f>
        <v>Case 1 with Taxes For Area Only   0% 20-year SRF</v>
      </c>
      <c r="E8" s="263" t="str">
        <f>"Case 3 with       "&amp;TEXT(E9,"0%")&amp;" Betterments       "&amp;TEXT(E11,"0%")&amp;" "&amp;TEXT(E10,"0")&amp;"-year SRF Septage Revenue"</f>
        <v>Case 3 with       100% Betterments       0% 20-year SRF Septage Revenue</v>
      </c>
      <c r="F8" s="263" t="str">
        <f>"Case 3 with       "&amp;TEXT(F9,"0%")&amp;" Betterments       "&amp;TEXT(F11,"0%")&amp;" "&amp;TEXT(F10,"0")&amp;"-year SRF Septage Revenue Collections on Tax"</f>
        <v>Case 3 with       100% Betterments       0% 20-year SRF Septage Revenue Collections on Tax</v>
      </c>
      <c r="G8" s="263" t="str">
        <f>"Case 3 with       "&amp;TEXT(G9,"0%")&amp;" Betterments       "&amp;TEXT(G11,"0%")&amp;" "&amp;TEXT(G10,"0")&amp;"-year SRF Septage Revenue "&amp;TEXT(G12,"0%")&amp; " D/B Savings"</f>
        <v>Case 3 with       100% Betterments       0% 20-year SRF Septage Revenue 21% D/B Savings</v>
      </c>
      <c r="H8" s="263" t="str">
        <f>"Case 3 with       "&amp;TEXT(H9,"0%")&amp;" Betterments       "&amp;TEXT(H11,"0%")&amp;" "&amp;TEXT(H10,"0")&amp;"-year SRF Septage Revenue "&amp;TEXT(H12,"0%")&amp; " Grant"</f>
        <v>Case 3 with       100% Betterments       0% 20-year SRF Septage Revenue 25% Grant</v>
      </c>
      <c r="I8" s="263" t="str">
        <f>"Case 3 with       "&amp;TEXT(I9,"0%")&amp;" Betterments       "&amp;TEXT(I11,"0%")&amp;" "&amp;TEXT(I10,"0")&amp;"-year SRF Septage Revenue "&amp;TEXT(I12,"0%")&amp; " Grant"</f>
        <v>Case 3 with       100% Betterments       0% 20-year SRF Septage Revenue 50% Grant</v>
      </c>
      <c r="J8" s="264" t="s">
        <v>165</v>
      </c>
    </row>
    <row r="9" spans="1:10" ht="22.95" customHeight="1" x14ac:dyDescent="0.3">
      <c r="A9" s="265" t="s">
        <v>166</v>
      </c>
      <c r="B9" s="378">
        <v>0</v>
      </c>
      <c r="C9" s="378">
        <v>0</v>
      </c>
      <c r="D9" s="378">
        <v>0</v>
      </c>
      <c r="E9" s="378">
        <v>1</v>
      </c>
      <c r="F9" s="378">
        <v>1</v>
      </c>
      <c r="G9" s="378">
        <v>1</v>
      </c>
      <c r="H9" s="378">
        <v>1</v>
      </c>
      <c r="I9" s="378">
        <v>1</v>
      </c>
      <c r="J9" s="267"/>
    </row>
    <row r="10" spans="1:10" ht="22.95" customHeight="1" x14ac:dyDescent="0.3">
      <c r="A10" s="265" t="s">
        <v>167</v>
      </c>
      <c r="B10" s="379">
        <v>20</v>
      </c>
      <c r="C10" s="379">
        <v>20</v>
      </c>
      <c r="D10" s="379">
        <v>20</v>
      </c>
      <c r="E10" s="379">
        <v>20</v>
      </c>
      <c r="F10" s="379">
        <v>20</v>
      </c>
      <c r="G10" s="379">
        <v>20</v>
      </c>
      <c r="H10" s="379">
        <v>20</v>
      </c>
      <c r="I10" s="379">
        <v>20</v>
      </c>
      <c r="J10" s="267"/>
    </row>
    <row r="11" spans="1:10" ht="22.95" customHeight="1" x14ac:dyDescent="0.3">
      <c r="A11" s="265" t="s">
        <v>168</v>
      </c>
      <c r="B11" s="378">
        <v>0.04</v>
      </c>
      <c r="C11" s="378">
        <v>0.02</v>
      </c>
      <c r="D11" s="378">
        <v>0</v>
      </c>
      <c r="E11" s="378">
        <v>0</v>
      </c>
      <c r="F11" s="378">
        <v>0</v>
      </c>
      <c r="G11" s="378">
        <v>0</v>
      </c>
      <c r="H11" s="378">
        <v>0</v>
      </c>
      <c r="I11" s="378">
        <v>0</v>
      </c>
      <c r="J11" s="267"/>
    </row>
    <row r="12" spans="1:10" ht="22.95" customHeight="1" x14ac:dyDescent="0.3">
      <c r="A12" s="265" t="s">
        <v>293</v>
      </c>
      <c r="B12" s="378">
        <v>0</v>
      </c>
      <c r="C12" s="378">
        <v>0</v>
      </c>
      <c r="D12" s="378">
        <v>0</v>
      </c>
      <c r="E12" s="378">
        <v>0</v>
      </c>
      <c r="F12" s="378">
        <v>0</v>
      </c>
      <c r="G12" s="378">
        <v>0.21</v>
      </c>
      <c r="H12" s="378">
        <v>0.25</v>
      </c>
      <c r="I12" s="378">
        <v>0.5</v>
      </c>
      <c r="J12" s="267"/>
    </row>
    <row r="13" spans="1:10" ht="22.95" customHeight="1" x14ac:dyDescent="0.3">
      <c r="A13" s="265" t="s">
        <v>170</v>
      </c>
      <c r="B13" s="380">
        <v>0</v>
      </c>
      <c r="C13" s="380">
        <v>0</v>
      </c>
      <c r="D13" s="380">
        <v>0</v>
      </c>
      <c r="E13" s="380">
        <f>B141</f>
        <v>584000</v>
      </c>
      <c r="F13" s="380">
        <v>0</v>
      </c>
      <c r="G13" s="380">
        <f>B141</f>
        <v>584000</v>
      </c>
      <c r="H13" s="381">
        <f>B141</f>
        <v>584000</v>
      </c>
      <c r="I13" s="381">
        <f>B141</f>
        <v>584000</v>
      </c>
      <c r="J13" s="267"/>
    </row>
    <row r="14" spans="1:10" ht="11.25" customHeight="1" x14ac:dyDescent="0.3">
      <c r="A14" s="271"/>
      <c r="B14" s="382"/>
      <c r="C14" s="382"/>
      <c r="D14" s="382"/>
      <c r="E14" s="382"/>
      <c r="F14" s="382"/>
      <c r="G14" s="382"/>
      <c r="H14" s="382"/>
      <c r="I14" s="382"/>
      <c r="J14" s="273"/>
    </row>
    <row r="15" spans="1:10" ht="22.2" customHeight="1" x14ac:dyDescent="0.3">
      <c r="A15" s="274" t="s">
        <v>237</v>
      </c>
      <c r="B15" s="381" t="e">
        <f>SUM('Program Summary'!#REF!)</f>
        <v>#REF!</v>
      </c>
      <c r="C15" s="381" t="e">
        <f>SUM('Program Summary'!#REF!)</f>
        <v>#REF!</v>
      </c>
      <c r="D15" s="381" t="e">
        <f>SUM('Program Summary'!#REF!)</f>
        <v>#REF!</v>
      </c>
      <c r="E15" s="381">
        <f>+'[4]Case 3'!F81</f>
        <v>182791015</v>
      </c>
      <c r="F15" s="381">
        <f>+'[4]Case 4'!F81</f>
        <v>143758834.33333331</v>
      </c>
      <c r="G15" s="381">
        <f>+'[4]Case 5'!C97</f>
        <v>143758834.33333331</v>
      </c>
      <c r="H15" s="381">
        <f>+'[4]Case 6'!F81</f>
        <v>143758834.33333331</v>
      </c>
      <c r="I15" s="381">
        <f>+'[4]Case 7'!F81</f>
        <v>207381288.81999999</v>
      </c>
      <c r="J15" s="267"/>
    </row>
    <row r="16" spans="1:10" ht="21.6" hidden="1" customHeight="1" x14ac:dyDescent="0.3">
      <c r="A16" s="274" t="s">
        <v>171</v>
      </c>
      <c r="B16" s="383">
        <v>0</v>
      </c>
      <c r="C16" s="383">
        <v>0</v>
      </c>
      <c r="D16" s="383">
        <v>0</v>
      </c>
      <c r="E16" s="383">
        <v>0</v>
      </c>
      <c r="F16" s="383">
        <v>0</v>
      </c>
      <c r="G16" s="383">
        <v>0</v>
      </c>
      <c r="H16" s="383">
        <v>0</v>
      </c>
      <c r="I16" s="383">
        <v>0</v>
      </c>
      <c r="J16" s="267"/>
    </row>
    <row r="17" spans="1:10" ht="21.6" hidden="1" customHeight="1" x14ac:dyDescent="0.3">
      <c r="A17" s="274" t="s">
        <v>238</v>
      </c>
      <c r="B17" s="381" t="e">
        <f>+B15-B16</f>
        <v>#REF!</v>
      </c>
      <c r="C17" s="381" t="e">
        <f>+C15-C16</f>
        <v>#REF!</v>
      </c>
      <c r="D17" s="381" t="e">
        <f t="shared" ref="D17:I17" si="0">+D15-D16</f>
        <v>#REF!</v>
      </c>
      <c r="E17" s="381">
        <f t="shared" si="0"/>
        <v>182791015</v>
      </c>
      <c r="F17" s="381">
        <f t="shared" si="0"/>
        <v>143758834.33333331</v>
      </c>
      <c r="G17" s="381">
        <f t="shared" si="0"/>
        <v>143758834.33333331</v>
      </c>
      <c r="H17" s="381">
        <f t="shared" si="0"/>
        <v>143758834.33333331</v>
      </c>
      <c r="I17" s="381">
        <f t="shared" si="0"/>
        <v>207381288.81999999</v>
      </c>
      <c r="J17" s="267"/>
    </row>
    <row r="18" spans="1:10" ht="11.25" customHeight="1" x14ac:dyDescent="0.3">
      <c r="A18" s="271"/>
      <c r="B18" s="382"/>
      <c r="C18" s="382"/>
      <c r="D18" s="382"/>
      <c r="E18" s="382"/>
      <c r="F18" s="382"/>
      <c r="G18" s="382"/>
      <c r="H18" s="382"/>
      <c r="I18" s="382"/>
      <c r="J18" s="273"/>
    </row>
    <row r="19" spans="1:10" ht="17.399999999999999" hidden="1" customHeight="1" x14ac:dyDescent="0.3">
      <c r="A19" s="274" t="s">
        <v>239</v>
      </c>
      <c r="B19" s="383"/>
      <c r="C19" s="383"/>
      <c r="D19" s="383"/>
      <c r="E19" s="383"/>
      <c r="F19" s="383"/>
      <c r="G19" s="383"/>
      <c r="H19" s="383"/>
      <c r="I19" s="383"/>
      <c r="J19" s="267"/>
    </row>
    <row r="20" spans="1:10" ht="20.399999999999999" hidden="1" customHeight="1" x14ac:dyDescent="0.3">
      <c r="A20" s="277" t="s">
        <v>240</v>
      </c>
      <c r="B20" s="383">
        <f>'[5]Program Summary Case 1'!$C16</f>
        <v>39269000</v>
      </c>
      <c r="C20" s="383">
        <f>'[5]Program Summary Case 1'!$C16</f>
        <v>39269000</v>
      </c>
      <c r="D20" s="383">
        <f>'[5]Program Summary Case 2'!$C16</f>
        <v>39269000</v>
      </c>
      <c r="E20" s="383">
        <f>'[5]Program Summary Case 3'!$C16</f>
        <v>39269000</v>
      </c>
      <c r="F20" s="383">
        <f>'[5]Program Summary Case 4'!$C16</f>
        <v>39269000</v>
      </c>
      <c r="G20" s="383">
        <f>'[5]Program Summary Case 5'!$C16</f>
        <v>39269000</v>
      </c>
      <c r="H20" s="383">
        <f>'[5]Program Summary Case 6'!$C16</f>
        <v>39269000</v>
      </c>
      <c r="I20" s="383">
        <f>'[5]Program Summary Case 7'!$C16</f>
        <v>29451750</v>
      </c>
      <c r="J20" s="267"/>
    </row>
    <row r="21" spans="1:10" ht="20.399999999999999" hidden="1" customHeight="1" x14ac:dyDescent="0.3">
      <c r="A21" s="277" t="s">
        <v>241</v>
      </c>
      <c r="B21" s="383">
        <f>'[5]Program Summary Case 1'!$C22</f>
        <v>27903600</v>
      </c>
      <c r="C21" s="383">
        <f>'[5]Program Summary Case 1'!$C22</f>
        <v>27903600</v>
      </c>
      <c r="D21" s="383">
        <f>'[5]Program Summary Case 2'!$C22</f>
        <v>27903600</v>
      </c>
      <c r="E21" s="383">
        <f>'[5]Program Summary Case 3'!$C22</f>
        <v>27903600</v>
      </c>
      <c r="F21" s="383">
        <f>'[5]Program Summary Case 4'!$C22</f>
        <v>27903600</v>
      </c>
      <c r="G21" s="383">
        <f>'[5]Program Summary Case 5'!$C22</f>
        <v>27903600</v>
      </c>
      <c r="H21" s="383">
        <f>'[5]Program Summary Case 6'!$C22</f>
        <v>27903600</v>
      </c>
      <c r="I21" s="383">
        <f>'[5]Program Summary Case 7'!$C22</f>
        <v>20927700</v>
      </c>
      <c r="J21" s="267"/>
    </row>
    <row r="22" spans="1:10" ht="20.25" hidden="1" customHeight="1" x14ac:dyDescent="0.3">
      <c r="A22" s="277" t="s">
        <v>242</v>
      </c>
      <c r="B22" s="383">
        <f>'[5]Program Summary Case 1'!$C49</f>
        <v>20544800</v>
      </c>
      <c r="C22" s="383">
        <f>'[5]Program Summary Case 1'!$C49</f>
        <v>20544800</v>
      </c>
      <c r="D22" s="383">
        <f>'[5]Program Summary Case 2'!$C49</f>
        <v>20544800</v>
      </c>
      <c r="E22" s="383">
        <f>'[5]Program Summary Case 3'!$C49</f>
        <v>20544800</v>
      </c>
      <c r="F22" s="383">
        <f>'[5]Program Summary Case 4'!$C49</f>
        <v>20544800</v>
      </c>
      <c r="G22" s="383">
        <f>'[5]Program Summary Case 5'!$C49</f>
        <v>20544800</v>
      </c>
      <c r="H22" s="383">
        <f>'[5]Program Summary Case 6'!$C49</f>
        <v>20544800</v>
      </c>
      <c r="I22" s="383">
        <f>'[5]Program Summary Case 7'!$C49</f>
        <v>15408600</v>
      </c>
      <c r="J22" s="267"/>
    </row>
    <row r="23" spans="1:10" ht="20.25" hidden="1" customHeight="1" x14ac:dyDescent="0.3">
      <c r="A23" s="338" t="s">
        <v>4</v>
      </c>
      <c r="B23" s="381">
        <f>SUM(B20:B22)</f>
        <v>87717400</v>
      </c>
      <c r="C23" s="381">
        <f>SUM(C20:C22)</f>
        <v>87717400</v>
      </c>
      <c r="D23" s="381">
        <f t="shared" ref="D23:I23" si="1">SUM(D20:D22)</f>
        <v>87717400</v>
      </c>
      <c r="E23" s="381">
        <f t="shared" si="1"/>
        <v>87717400</v>
      </c>
      <c r="F23" s="381">
        <f t="shared" si="1"/>
        <v>87717400</v>
      </c>
      <c r="G23" s="381">
        <f t="shared" si="1"/>
        <v>87717400</v>
      </c>
      <c r="H23" s="381">
        <f t="shared" si="1"/>
        <v>87717400</v>
      </c>
      <c r="I23" s="381">
        <f t="shared" si="1"/>
        <v>65788050</v>
      </c>
      <c r="J23" s="267"/>
    </row>
    <row r="24" spans="1:10" ht="11.25" hidden="1" customHeight="1" x14ac:dyDescent="0.3">
      <c r="A24" s="271"/>
      <c r="B24" s="382"/>
      <c r="C24" s="382"/>
      <c r="D24" s="382"/>
      <c r="E24" s="382"/>
      <c r="F24" s="382"/>
      <c r="G24" s="382"/>
      <c r="H24" s="382"/>
      <c r="I24" s="382"/>
      <c r="J24" s="273"/>
    </row>
    <row r="25" spans="1:10" ht="17.399999999999999" hidden="1" customHeight="1" x14ac:dyDescent="0.3">
      <c r="A25" s="274" t="s">
        <v>243</v>
      </c>
      <c r="B25" s="383"/>
      <c r="C25" s="383"/>
      <c r="D25" s="383"/>
      <c r="E25" s="383"/>
      <c r="F25" s="383"/>
      <c r="G25" s="383"/>
      <c r="H25" s="383"/>
      <c r="I25" s="383"/>
      <c r="J25" s="267"/>
    </row>
    <row r="26" spans="1:10" ht="20.399999999999999" hidden="1" customHeight="1" x14ac:dyDescent="0.3">
      <c r="A26" s="277" t="s">
        <v>240</v>
      </c>
      <c r="B26" s="383">
        <f>'[5]Program Summary Case 1'!$D16</f>
        <v>8246490</v>
      </c>
      <c r="C26" s="383">
        <f>'[5]Program Summary Case 1'!$D16</f>
        <v>8246490</v>
      </c>
      <c r="D26" s="383">
        <f>'[5]Program Summary Case 2'!$D16</f>
        <v>8246490</v>
      </c>
      <c r="E26" s="383">
        <f>'[5]Program Summary Case 3'!$D16</f>
        <v>8246490</v>
      </c>
      <c r="F26" s="383">
        <f>'[5]Program Summary Case 4'!$D16</f>
        <v>8246490</v>
      </c>
      <c r="G26" s="383">
        <f>'[5]Program Summary Case 5'!$D16</f>
        <v>913004.24999999988</v>
      </c>
      <c r="H26" s="383">
        <f>'[5]Program Summary Case 6'!$D16</f>
        <v>913004.24999999988</v>
      </c>
      <c r="I26" s="383">
        <f>'[5]Program Summary Case 7'!$D16</f>
        <v>684753.18749999988</v>
      </c>
      <c r="J26" s="267"/>
    </row>
    <row r="27" spans="1:10" ht="20.399999999999999" hidden="1" customHeight="1" x14ac:dyDescent="0.3">
      <c r="A27" s="277" t="s">
        <v>241</v>
      </c>
      <c r="B27" s="383">
        <f>'[5]Program Summary Case 1'!$D22</f>
        <v>5859756</v>
      </c>
      <c r="C27" s="383">
        <f>'[5]Program Summary Case 1'!$D22</f>
        <v>5859756</v>
      </c>
      <c r="D27" s="383">
        <f>'[5]Program Summary Case 2'!$D22</f>
        <v>5859756</v>
      </c>
      <c r="E27" s="383">
        <f>'[5]Program Summary Case 3'!$D22</f>
        <v>5859756</v>
      </c>
      <c r="F27" s="383">
        <f>'[5]Program Summary Case 4'!$D22</f>
        <v>5859756</v>
      </c>
      <c r="G27" s="383">
        <f>'[5]Program Summary Case 5'!$D22</f>
        <v>648758.69999999984</v>
      </c>
      <c r="H27" s="383">
        <f>'[5]Program Summary Case 6'!$D22</f>
        <v>648758.69999999984</v>
      </c>
      <c r="I27" s="383">
        <f>'[5]Program Summary Case 7'!$D22</f>
        <v>486569.02499999991</v>
      </c>
      <c r="J27" s="267"/>
    </row>
    <row r="28" spans="1:10" ht="20.25" hidden="1" customHeight="1" x14ac:dyDescent="0.3">
      <c r="A28" s="277" t="s">
        <v>242</v>
      </c>
      <c r="B28" s="383">
        <f>'[5]Program Summary Case 1'!$D49</f>
        <v>4314408</v>
      </c>
      <c r="C28" s="383">
        <f>'[5]Program Summary Case 1'!$D49</f>
        <v>4314408</v>
      </c>
      <c r="D28" s="383">
        <f>'[5]Program Summary Case 2'!$D49</f>
        <v>4314408</v>
      </c>
      <c r="E28" s="383">
        <f>'[5]Program Summary Case 3'!$D49</f>
        <v>4314408</v>
      </c>
      <c r="F28" s="383">
        <f>'[5]Program Summary Case 4'!$D49</f>
        <v>4314408</v>
      </c>
      <c r="G28" s="383">
        <f>'[5]Program Summary Case 5'!$D49</f>
        <v>477666.6</v>
      </c>
      <c r="H28" s="383">
        <f>'[5]Program Summary Case 6'!$D49</f>
        <v>477666.6</v>
      </c>
      <c r="I28" s="383">
        <f>'[5]Program Summary Case 7'!$D49</f>
        <v>358249.95</v>
      </c>
      <c r="J28" s="267"/>
    </row>
    <row r="29" spans="1:10" ht="20.25" hidden="1" customHeight="1" x14ac:dyDescent="0.3">
      <c r="A29" s="338" t="s">
        <v>4</v>
      </c>
      <c r="B29" s="381">
        <f>SUM(B26:B28)</f>
        <v>18420654</v>
      </c>
      <c r="C29" s="381">
        <f>SUM(C26:C28)</f>
        <v>18420654</v>
      </c>
      <c r="D29" s="381">
        <f t="shared" ref="D29:I29" si="2">SUM(D26:D28)</f>
        <v>18420654</v>
      </c>
      <c r="E29" s="381">
        <f t="shared" si="2"/>
        <v>18420654</v>
      </c>
      <c r="F29" s="381">
        <f t="shared" si="2"/>
        <v>18420654</v>
      </c>
      <c r="G29" s="381">
        <f t="shared" si="2"/>
        <v>2039429.5499999998</v>
      </c>
      <c r="H29" s="381">
        <f t="shared" si="2"/>
        <v>2039429.5499999998</v>
      </c>
      <c r="I29" s="381">
        <f t="shared" si="2"/>
        <v>1529572.1624999999</v>
      </c>
      <c r="J29" s="267"/>
    </row>
    <row r="30" spans="1:10" ht="11.25" hidden="1" customHeight="1" x14ac:dyDescent="0.3">
      <c r="A30" s="271"/>
      <c r="B30" s="382"/>
      <c r="C30" s="382"/>
      <c r="D30" s="382"/>
      <c r="E30" s="382"/>
      <c r="F30" s="382"/>
      <c r="G30" s="382"/>
      <c r="H30" s="382"/>
      <c r="I30" s="382"/>
      <c r="J30" s="273"/>
    </row>
    <row r="31" spans="1:10" ht="17.399999999999999" hidden="1" customHeight="1" x14ac:dyDescent="0.3">
      <c r="A31" s="274" t="s">
        <v>244</v>
      </c>
      <c r="B31" s="383"/>
      <c r="C31" s="383"/>
      <c r="D31" s="383"/>
      <c r="E31" s="383"/>
      <c r="F31" s="383"/>
      <c r="G31" s="383"/>
      <c r="H31" s="383"/>
      <c r="I31" s="383"/>
      <c r="J31" s="267"/>
    </row>
    <row r="32" spans="1:10" ht="20.399999999999999" hidden="1" customHeight="1" x14ac:dyDescent="0.3">
      <c r="A32" s="277" t="s">
        <v>240</v>
      </c>
      <c r="B32" s="383">
        <f>'[5]Program Summary Case 1'!$E16+'[5]Program Summary Case 1'!$F16+'[5]Program Summary Case 1'!$G16</f>
        <v>2404400</v>
      </c>
      <c r="C32" s="383">
        <f>'[5]Program Summary Case 1'!$E16+'[5]Program Summary Case 1'!$F16+'[5]Program Summary Case 1'!$G16</f>
        <v>2404400</v>
      </c>
      <c r="D32" s="383">
        <f>'[5]Program Summary Case 2'!$E16+'[5]Program Summary Case 2'!$F16+'[5]Program Summary Case 2'!$G16</f>
        <v>2404400</v>
      </c>
      <c r="E32" s="383">
        <f>'[5]Program Summary Case 3'!$E16+'[5]Program Summary Case 3'!$F16+'[5]Program Summary Case 3'!$G16</f>
        <v>2404400</v>
      </c>
      <c r="F32" s="383">
        <f>'[5]Program Summary Case 4'!$E16+'[5]Program Summary Case 4'!$F16+'[5]Program Summary Case 4'!$G16</f>
        <v>2404400</v>
      </c>
      <c r="G32" s="383">
        <f>'[5]Program Summary Case 5'!$E16+'[5]Program Summary Case 5'!$F16+'[5]Program Summary Case 5'!$G16</f>
        <v>2404400</v>
      </c>
      <c r="H32" s="383">
        <f>'[5]Program Summary Case 6'!$E16+'[5]Program Summary Case 6'!$F16+'[5]Program Summary Case 6'!$G16</f>
        <v>2404400</v>
      </c>
      <c r="I32" s="383">
        <f>'[5]Program Summary Case 7'!$E16+'[5]Program Summary Case 7'!$F16+'[5]Program Summary Case 7'!$G16</f>
        <v>2404400</v>
      </c>
      <c r="J32" s="267"/>
    </row>
    <row r="33" spans="1:10" ht="20.399999999999999" hidden="1" customHeight="1" x14ac:dyDescent="0.3">
      <c r="A33" s="277" t="s">
        <v>241</v>
      </c>
      <c r="B33" s="383">
        <f>'[5]Program Summary Case 1'!$E22+'[5]Program Summary Case 1'!$F22+'[5]Program Summary Case 1'!$G22</f>
        <v>1392000</v>
      </c>
      <c r="C33" s="383">
        <f>'[5]Program Summary Case 1'!$E22+'[5]Program Summary Case 1'!$F22+'[5]Program Summary Case 1'!$G22</f>
        <v>1392000</v>
      </c>
      <c r="D33" s="383">
        <f>'[5]Program Summary Case 2'!$E22+'[5]Program Summary Case 2'!$F22+'[5]Program Summary Case 2'!$G22</f>
        <v>1392000</v>
      </c>
      <c r="E33" s="383">
        <f>'[5]Program Summary Case 3'!$E22+'[5]Program Summary Case 3'!$F22+'[5]Program Summary Case 3'!$G22</f>
        <v>1392000</v>
      </c>
      <c r="F33" s="383">
        <f>'[5]Program Summary Case 4'!$E22+'[5]Program Summary Case 4'!$F22+'[5]Program Summary Case 4'!$G22</f>
        <v>1392000</v>
      </c>
      <c r="G33" s="383">
        <f>'[5]Program Summary Case 5'!$E22+'[5]Program Summary Case 5'!$F22+'[5]Program Summary Case 5'!$G22</f>
        <v>1392000</v>
      </c>
      <c r="H33" s="383">
        <f>'[5]Program Summary Case 6'!$E22+'[5]Program Summary Case 6'!$F22+'[5]Program Summary Case 6'!$G22</f>
        <v>1392000</v>
      </c>
      <c r="I33" s="383">
        <f>'[5]Program Summary Case 7'!$E22+'[5]Program Summary Case 7'!$F22+'[5]Program Summary Case 7'!$G22</f>
        <v>1392000</v>
      </c>
      <c r="J33" s="267"/>
    </row>
    <row r="34" spans="1:10" ht="20.25" hidden="1" customHeight="1" x14ac:dyDescent="0.3">
      <c r="A34" s="277" t="s">
        <v>242</v>
      </c>
      <c r="B34" s="383">
        <f>'[5]Program Summary Case 1'!$E49+'[5]Program Summary Case 1'!$F49+'[5]Program Summary Case 1'!$G49</f>
        <v>5991500</v>
      </c>
      <c r="C34" s="383">
        <f>'[5]Program Summary Case 1'!$E49+'[5]Program Summary Case 1'!$F49+'[5]Program Summary Case 1'!$G49</f>
        <v>5991500</v>
      </c>
      <c r="D34" s="383">
        <f>'[5]Program Summary Case 2'!$E49+'[5]Program Summary Case 2'!$F49+'[5]Program Summary Case 2'!$G49</f>
        <v>5991500</v>
      </c>
      <c r="E34" s="383">
        <f>'[5]Program Summary Case 3'!$E49+'[5]Program Summary Case 3'!$F49+'[5]Program Summary Case 3'!$G49</f>
        <v>5991500</v>
      </c>
      <c r="F34" s="383">
        <f>'[5]Program Summary Case 4'!$E49+'[5]Program Summary Case 4'!$F49+'[5]Program Summary Case 4'!$G49</f>
        <v>5991500</v>
      </c>
      <c r="G34" s="383">
        <f>'[5]Program Summary Case 5'!$E49+'[5]Program Summary Case 5'!$F49+'[5]Program Summary Case 5'!$G49</f>
        <v>5991500</v>
      </c>
      <c r="H34" s="383">
        <f>'[5]Program Summary Case 6'!$E49+'[5]Program Summary Case 6'!$F49+'[5]Program Summary Case 6'!$G49</f>
        <v>5991500</v>
      </c>
      <c r="I34" s="383">
        <f>'[5]Program Summary Case 7'!$E49+'[5]Program Summary Case 7'!$F49+'[5]Program Summary Case 7'!$G49</f>
        <v>5991500</v>
      </c>
      <c r="J34" s="267"/>
    </row>
    <row r="35" spans="1:10" ht="20.25" hidden="1" customHeight="1" x14ac:dyDescent="0.3">
      <c r="A35" s="338" t="s">
        <v>4</v>
      </c>
      <c r="B35" s="381">
        <f>SUM(B32:B34)</f>
        <v>9787900</v>
      </c>
      <c r="C35" s="381">
        <f>SUM(C32:C34)</f>
        <v>9787900</v>
      </c>
      <c r="D35" s="381">
        <f t="shared" ref="D35:I35" si="3">SUM(D32:D34)</f>
        <v>9787900</v>
      </c>
      <c r="E35" s="381">
        <f t="shared" si="3"/>
        <v>9787900</v>
      </c>
      <c r="F35" s="381">
        <f t="shared" si="3"/>
        <v>9787900</v>
      </c>
      <c r="G35" s="381">
        <f t="shared" si="3"/>
        <v>9787900</v>
      </c>
      <c r="H35" s="381">
        <f t="shared" si="3"/>
        <v>9787900</v>
      </c>
      <c r="I35" s="381">
        <f t="shared" si="3"/>
        <v>9787900</v>
      </c>
      <c r="J35" s="267"/>
    </row>
    <row r="36" spans="1:10" ht="11.25" hidden="1" customHeight="1" x14ac:dyDescent="0.3">
      <c r="A36" s="271"/>
      <c r="B36" s="382"/>
      <c r="C36" s="382"/>
      <c r="D36" s="382"/>
      <c r="E36" s="382"/>
      <c r="F36" s="382"/>
      <c r="G36" s="382"/>
      <c r="H36" s="382"/>
      <c r="I36" s="382"/>
      <c r="J36" s="273"/>
    </row>
    <row r="37" spans="1:10" ht="17.399999999999999" customHeight="1" x14ac:dyDescent="0.3">
      <c r="A37" s="274" t="s">
        <v>172</v>
      </c>
      <c r="B37" s="383"/>
      <c r="C37" s="383"/>
      <c r="D37" s="383"/>
      <c r="E37" s="383"/>
      <c r="F37" s="383"/>
      <c r="G37" s="383"/>
      <c r="H37" s="383"/>
      <c r="I37" s="383"/>
      <c r="J37" s="267"/>
    </row>
    <row r="38" spans="1:10" ht="20.399999999999999" customHeight="1" x14ac:dyDescent="0.3">
      <c r="A38" s="277" t="s">
        <v>203</v>
      </c>
      <c r="B38" s="383" t="e">
        <f>((('Program Summary'!#REF!)-('Output Cases Template DT Public'!B43*'Output Cases Template DT Public'!$B127))*'Output Cases Template DT Public'!B9)/'Output Cases Template DT Public'!$B127</f>
        <v>#REF!</v>
      </c>
      <c r="C38" s="383" t="e">
        <f>((('Program Summary'!#REF!)-('Output Cases Template DT Public'!C43*'Output Cases Template DT Public'!$B127))*'Output Cases Template DT Public'!C9)/'Output Cases Template DT Public'!$B127</f>
        <v>#REF!</v>
      </c>
      <c r="D38" s="383" t="e">
        <f>((('Program Summary'!#REF!)-('Output Cases Template DT Public'!D43*'Output Cases Template DT Public'!$B127))*'Output Cases Template DT Public'!D9)/'Output Cases Template DT Public'!$B127</f>
        <v>#REF!</v>
      </c>
      <c r="E38" s="383" t="e">
        <f>((('Program Summary'!#REF!)-('Output Cases Template DT Public'!E43*'Output Cases Template DT Public'!$B127))*'Output Cases Template DT Public'!E9)/'Output Cases Template DT Public'!$B127</f>
        <v>#REF!</v>
      </c>
      <c r="F38" s="383" t="e">
        <f>((('Program Summary'!#REF!)-('Output Cases Template DT Public'!F43*'Output Cases Template DT Public'!$B127))*'Output Cases Template DT Public'!F9)/'Output Cases Template DT Public'!$B127</f>
        <v>#REF!</v>
      </c>
      <c r="G38" s="383" t="e">
        <f>((('Program Summary'!#REF!)-('Output Cases Template DT Public'!G43*'Output Cases Template DT Public'!$B127))*'Output Cases Template DT Public'!G9)/'Output Cases Template DT Public'!$B127</f>
        <v>#REF!</v>
      </c>
      <c r="H38" s="383" t="e">
        <f>((('Program Summary'!#REF!)-('Output Cases Template DT Public'!H43*'Output Cases Template DT Public'!$B127))*'Output Cases Template DT Public'!H9)/'Output Cases Template DT Public'!$B127</f>
        <v>#REF!</v>
      </c>
      <c r="I38" s="383" t="e">
        <f>((('Program Summary'!#REF!)-('Output Cases Template DT Public'!I43*'Output Cases Template DT Public'!$B127))*'Output Cases Template DT Public'!I9)/'Output Cases Template DT Public'!$B127</f>
        <v>#REF!</v>
      </c>
      <c r="J38" s="267"/>
    </row>
    <row r="39" spans="1:10" ht="20.399999999999999" customHeight="1" x14ac:dyDescent="0.3">
      <c r="A39" s="277" t="s">
        <v>206</v>
      </c>
      <c r="B39" s="383" t="e">
        <f>((('Program Summary'!#REF!)-('Output Cases Template DT Public'!B44*'Output Cases Template DT Public'!$B128))*'Output Cases Template DT Public'!B9)/'Output Cases Template DT Public'!$B128</f>
        <v>#REF!</v>
      </c>
      <c r="C39" s="383" t="e">
        <f>((('Program Summary'!#REF!)-('Output Cases Template DT Public'!C44*'Output Cases Template DT Public'!$B128))*'Output Cases Template DT Public'!C9)/'Output Cases Template DT Public'!$B128</f>
        <v>#REF!</v>
      </c>
      <c r="D39" s="383" t="e">
        <f>((('Program Summary'!#REF!)-('Output Cases Template DT Public'!D44*'Output Cases Template DT Public'!$B128))*'Output Cases Template DT Public'!D9)/'Output Cases Template DT Public'!$B128</f>
        <v>#REF!</v>
      </c>
      <c r="E39" s="383" t="e">
        <f>((('Program Summary'!#REF!)-('Output Cases Template DT Public'!E44*'Output Cases Template DT Public'!$B128))*'Output Cases Template DT Public'!E9)/'Output Cases Template DT Public'!$B128</f>
        <v>#REF!</v>
      </c>
      <c r="F39" s="383" t="e">
        <f>((('Program Summary'!#REF!)-('Output Cases Template DT Public'!F44*'Output Cases Template DT Public'!$B128))*'Output Cases Template DT Public'!F9)/'Output Cases Template DT Public'!$B128</f>
        <v>#REF!</v>
      </c>
      <c r="G39" s="383" t="e">
        <f>((('Program Summary'!#REF!)-('Output Cases Template DT Public'!G44*'Output Cases Template DT Public'!$B128))*'Output Cases Template DT Public'!G9)/'Output Cases Template DT Public'!$B128</f>
        <v>#REF!</v>
      </c>
      <c r="H39" s="383" t="e">
        <f>((('Program Summary'!#REF!)-('Output Cases Template DT Public'!H44*'Output Cases Template DT Public'!$B128))*'Output Cases Template DT Public'!H9)/'Output Cases Template DT Public'!$B128</f>
        <v>#REF!</v>
      </c>
      <c r="I39" s="383" t="e">
        <f>((('Program Summary'!#REF!)-('Output Cases Template DT Public'!I44*'Output Cases Template DT Public'!$B128))*'Output Cases Template DT Public'!I9)/'Output Cases Template DT Public'!$B128</f>
        <v>#REF!</v>
      </c>
      <c r="J39" s="267"/>
    </row>
    <row r="40" spans="1:10" ht="20.399999999999999" customHeight="1" x14ac:dyDescent="0.3">
      <c r="A40" s="277" t="s">
        <v>202</v>
      </c>
      <c r="B40" s="383" t="e">
        <f>((('Program Summary'!#REF!))*'Output Cases Template DT Public'!B9)/'Output Cases Template DT Public'!$B129</f>
        <v>#REF!</v>
      </c>
      <c r="C40" s="383" t="e">
        <f>((('Program Summary'!#REF!))*'Output Cases Template DT Public'!C9)/'Output Cases Template DT Public'!$B129</f>
        <v>#REF!</v>
      </c>
      <c r="D40" s="383" t="e">
        <f>((('Program Summary'!#REF!))*'Output Cases Template DT Public'!D9)/'Output Cases Template DT Public'!$B129</f>
        <v>#REF!</v>
      </c>
      <c r="E40" s="383" t="e">
        <f>((('Program Summary'!#REF!))*'Output Cases Template DT Public'!E9)/'Output Cases Template DT Public'!$B129</f>
        <v>#REF!</v>
      </c>
      <c r="F40" s="383" t="e">
        <f>((('Program Summary'!#REF!))*'Output Cases Template DT Public'!F9)/'Output Cases Template DT Public'!$B129</f>
        <v>#REF!</v>
      </c>
      <c r="G40" s="383" t="e">
        <f>((('Program Summary'!#REF!))*'Output Cases Template DT Public'!G9)/'Output Cases Template DT Public'!$B129</f>
        <v>#REF!</v>
      </c>
      <c r="H40" s="383" t="e">
        <f>((('Program Summary'!#REF!))*'Output Cases Template DT Public'!H9)/'Output Cases Template DT Public'!$B129</f>
        <v>#REF!</v>
      </c>
      <c r="I40" s="383" t="e">
        <f>((('Program Summary'!#REF!))*'Output Cases Template DT Public'!I9)/'Output Cases Template DT Public'!$B129</f>
        <v>#REF!</v>
      </c>
      <c r="J40" s="267"/>
    </row>
    <row r="41" spans="1:10" ht="11.25" customHeight="1" x14ac:dyDescent="0.3">
      <c r="A41" s="271"/>
      <c r="B41" s="382"/>
      <c r="C41" s="382"/>
      <c r="D41" s="382"/>
      <c r="E41" s="382"/>
      <c r="F41" s="382"/>
      <c r="G41" s="382"/>
      <c r="H41" s="382"/>
      <c r="I41" s="382"/>
      <c r="J41" s="273"/>
    </row>
    <row r="42" spans="1:10" ht="15.6" x14ac:dyDescent="0.3">
      <c r="A42" s="278" t="s">
        <v>173</v>
      </c>
      <c r="B42" s="383"/>
      <c r="C42" s="383"/>
      <c r="D42" s="383"/>
      <c r="E42" s="383"/>
      <c r="F42" s="383"/>
      <c r="G42" s="383"/>
      <c r="H42" s="383"/>
      <c r="I42" s="383"/>
      <c r="J42" s="279"/>
    </row>
    <row r="43" spans="1:10" ht="20.399999999999999" customHeight="1" x14ac:dyDescent="0.3">
      <c r="A43" s="277" t="s">
        <v>204</v>
      </c>
      <c r="B43" s="383">
        <f>$G127</f>
        <v>0</v>
      </c>
      <c r="C43" s="383">
        <f>$G127</f>
        <v>0</v>
      </c>
      <c r="D43" s="383">
        <f t="shared" ref="D43:I43" si="4">$G127</f>
        <v>0</v>
      </c>
      <c r="E43" s="383">
        <f t="shared" si="4"/>
        <v>0</v>
      </c>
      <c r="F43" s="383">
        <f t="shared" si="4"/>
        <v>0</v>
      </c>
      <c r="G43" s="383">
        <f t="shared" si="4"/>
        <v>0</v>
      </c>
      <c r="H43" s="383">
        <f t="shared" si="4"/>
        <v>0</v>
      </c>
      <c r="I43" s="383">
        <f t="shared" si="4"/>
        <v>0</v>
      </c>
      <c r="J43" s="267"/>
    </row>
    <row r="44" spans="1:10" ht="20.399999999999999" customHeight="1" x14ac:dyDescent="0.3">
      <c r="A44" s="277" t="s">
        <v>205</v>
      </c>
      <c r="B44" s="383">
        <f t="shared" ref="B44:I44" si="5">$F128</f>
        <v>0</v>
      </c>
      <c r="C44" s="383">
        <f t="shared" si="5"/>
        <v>0</v>
      </c>
      <c r="D44" s="383">
        <f t="shared" si="5"/>
        <v>0</v>
      </c>
      <c r="E44" s="383">
        <f t="shared" si="5"/>
        <v>0</v>
      </c>
      <c r="F44" s="383">
        <f t="shared" si="5"/>
        <v>0</v>
      </c>
      <c r="G44" s="383">
        <f t="shared" si="5"/>
        <v>0</v>
      </c>
      <c r="H44" s="383">
        <f t="shared" si="5"/>
        <v>0</v>
      </c>
      <c r="I44" s="383">
        <f t="shared" si="5"/>
        <v>0</v>
      </c>
      <c r="J44" s="267"/>
    </row>
    <row r="45" spans="1:10" ht="20.399999999999999" customHeight="1" x14ac:dyDescent="0.3">
      <c r="A45" s="277" t="s">
        <v>207</v>
      </c>
      <c r="B45" s="384" t="s">
        <v>174</v>
      </c>
      <c r="C45" s="384" t="s">
        <v>174</v>
      </c>
      <c r="D45" s="384" t="s">
        <v>174</v>
      </c>
      <c r="E45" s="384" t="s">
        <v>174</v>
      </c>
      <c r="F45" s="384" t="s">
        <v>174</v>
      </c>
      <c r="G45" s="384" t="s">
        <v>174</v>
      </c>
      <c r="H45" s="384" t="s">
        <v>174</v>
      </c>
      <c r="I45" s="384" t="s">
        <v>174</v>
      </c>
      <c r="J45" s="267"/>
    </row>
    <row r="46" spans="1:10" ht="11.25" customHeight="1" x14ac:dyDescent="0.3">
      <c r="A46" s="271"/>
      <c r="B46" s="382"/>
      <c r="C46" s="382"/>
      <c r="D46" s="382"/>
      <c r="E46" s="382"/>
      <c r="F46" s="382"/>
      <c r="G46" s="382"/>
      <c r="H46" s="382"/>
      <c r="I46" s="382"/>
      <c r="J46" s="273"/>
    </row>
    <row r="47" spans="1:10" ht="15.6" x14ac:dyDescent="0.3">
      <c r="A47" s="274" t="s">
        <v>175</v>
      </c>
      <c r="B47" s="383"/>
      <c r="C47" s="383"/>
      <c r="D47" s="383"/>
      <c r="E47" s="383"/>
      <c r="F47" s="383"/>
      <c r="G47" s="383"/>
      <c r="H47" s="383"/>
      <c r="I47" s="383"/>
      <c r="J47" s="267"/>
    </row>
    <row r="48" spans="1:10" ht="20.399999999999999" customHeight="1" x14ac:dyDescent="0.3">
      <c r="A48" s="277" t="s">
        <v>204</v>
      </c>
      <c r="B48" s="383" t="e">
        <f>('Program Summary'!#REF!-'Output Cases Template DT Public'!B$13)/$F$132/'Output Cases Template DT Public'!$B127</f>
        <v>#REF!</v>
      </c>
      <c r="C48" s="383" t="e">
        <f>('Program Summary'!#REF!-'Output Cases Template DT Public'!C$13)/$F$132/'Output Cases Template DT Public'!$B127</f>
        <v>#REF!</v>
      </c>
      <c r="D48" s="383" t="e">
        <f>('Program Summary'!#REF!-'Output Cases Template DT Public'!D$13)/$F$132/'Output Cases Template DT Public'!$B127</f>
        <v>#REF!</v>
      </c>
      <c r="E48" s="383" t="e">
        <f>('Program Summary'!#REF!-'Output Cases Template DT Public'!E$13)/$F$132/'Output Cases Template DT Public'!$B127</f>
        <v>#REF!</v>
      </c>
      <c r="F48" s="383" t="e">
        <f>('Program Summary'!#REF!-'Output Cases Template DT Public'!F$13)/$F$132/'Output Cases Template DT Public'!$B127</f>
        <v>#REF!</v>
      </c>
      <c r="G48" s="383" t="e">
        <f>('Program Summary'!#REF!-('Output Cases Template DT Public'!G$13*20*0.2401))/$F$132/'Output Cases Template DT Public'!$B127</f>
        <v>#REF!</v>
      </c>
      <c r="H48" s="383" t="e">
        <f>('Program Summary'!#REF!-('Output Cases Template DT Public'!H$13*20*0.2401))/$F$132/'Output Cases Template DT Public'!$B127</f>
        <v>#REF!</v>
      </c>
      <c r="I48" s="383" t="e">
        <f>('Program Summary'!#REF!-'Output Cases Template DT Public'!I$13)/$F$132/'Output Cases Template DT Public'!$B127</f>
        <v>#REF!</v>
      </c>
      <c r="J48" s="267"/>
    </row>
    <row r="49" spans="1:10" ht="20.399999999999999" customHeight="1" x14ac:dyDescent="0.3">
      <c r="A49" s="277" t="s">
        <v>205</v>
      </c>
      <c r="B49" s="383" t="e">
        <f>('Program Summary'!#REF!-'Output Cases Template DT Public'!B$13)/$F$132/'Output Cases Template DT Public'!$B128</f>
        <v>#REF!</v>
      </c>
      <c r="C49" s="383" t="e">
        <f>('Program Summary'!#REF!-'Output Cases Template DT Public'!C$13)/$F$132/'Output Cases Template DT Public'!$B128</f>
        <v>#REF!</v>
      </c>
      <c r="D49" s="383" t="e">
        <f>('Program Summary'!#REF!-'Output Cases Template DT Public'!D$13)/$F$132/'Output Cases Template DT Public'!$B128</f>
        <v>#REF!</v>
      </c>
      <c r="E49" s="383" t="e">
        <f>('Program Summary'!#REF!-'Output Cases Template DT Public'!E$13)/$F$132/'Output Cases Template DT Public'!$B128</f>
        <v>#REF!</v>
      </c>
      <c r="F49" s="383" t="e">
        <f>('Program Summary'!#REF!-'Output Cases Template DT Public'!F$13)/$F$132/'Output Cases Template DT Public'!$B128</f>
        <v>#REF!</v>
      </c>
      <c r="G49" s="383" t="e">
        <f>('Program Summary'!#REF!-('Output Cases Template DT Public'!G$13*20*0.0453))/$F$132/'Output Cases Template DT Public'!$B128</f>
        <v>#REF!</v>
      </c>
      <c r="H49" s="383" t="e">
        <f>('Program Summary'!#REF!-('Output Cases Template DT Public'!H$13*20*0.0453))/$F$132/'Output Cases Template DT Public'!$B128</f>
        <v>#REF!</v>
      </c>
      <c r="I49" s="383" t="e">
        <f>('Program Summary'!#REF!-'Output Cases Template DT Public'!I$13)/$F$132/'Output Cases Template DT Public'!$B128</f>
        <v>#REF!</v>
      </c>
      <c r="J49" s="267"/>
    </row>
    <row r="50" spans="1:10" ht="20.399999999999999" customHeight="1" x14ac:dyDescent="0.3">
      <c r="A50" s="277" t="s">
        <v>229</v>
      </c>
      <c r="B50" s="383" t="e">
        <f>('Program Summary'!#REF!-'Output Cases Template DT Public'!B$13)/$F$132/'Output Cases Template DT Public'!$B128</f>
        <v>#REF!</v>
      </c>
      <c r="C50" s="383" t="e">
        <f>('Program Summary'!#REF!-'Output Cases Template DT Public'!C$13)/$F$132/'Output Cases Template DT Public'!$B128</f>
        <v>#REF!</v>
      </c>
      <c r="D50" s="383" t="e">
        <f>('Program Summary'!#REF!-'Output Cases Template DT Public'!D$13)/$F$132/'Output Cases Template DT Public'!$B128</f>
        <v>#REF!</v>
      </c>
      <c r="E50" s="383" t="e">
        <f>('Program Summary'!#REF!-'Output Cases Template DT Public'!E$13)/$F$132/'Output Cases Template DT Public'!$B128</f>
        <v>#REF!</v>
      </c>
      <c r="F50" s="383" t="e">
        <f>('Program Summary'!#REF!-'Output Cases Template DT Public'!F$13)/$F$132/'Output Cases Template DT Public'!$B128</f>
        <v>#REF!</v>
      </c>
      <c r="G50" s="383" t="e">
        <f>('Program Summary'!#REF!-('Output Cases Template DT Public'!G$13*20*0.7145))/$F$132/'Output Cases Template DT Public'!$B128</f>
        <v>#REF!</v>
      </c>
      <c r="H50" s="383" t="e">
        <f>('Program Summary'!#REF!-('Output Cases Template DT Public'!H$13*20*0.7145))/$F$132/'Output Cases Template DT Public'!$B128</f>
        <v>#REF!</v>
      </c>
      <c r="I50" s="383" t="e">
        <f>('Program Summary'!#REF!-'Output Cases Template DT Public'!I$13)/$F$132/'Output Cases Template DT Public'!$B128</f>
        <v>#REF!</v>
      </c>
      <c r="J50" s="267"/>
    </row>
    <row r="51" spans="1:10" ht="20.399999999999999" customHeight="1" x14ac:dyDescent="0.3">
      <c r="A51" s="277" t="s">
        <v>230</v>
      </c>
      <c r="B51" s="383" t="e">
        <f>('Program Summary'!#REF!-'Output Cases Template DT Public'!B$13)/$F$132/'Output Cases Template DT Public'!$B129</f>
        <v>#REF!</v>
      </c>
      <c r="C51" s="383" t="e">
        <f>('Program Summary'!#REF!-'Output Cases Template DT Public'!C$13)/$F$132/'Output Cases Template DT Public'!$B129</f>
        <v>#REF!</v>
      </c>
      <c r="D51" s="383" t="e">
        <f>('Program Summary'!#REF!-'Output Cases Template DT Public'!D$13)/$F$132/'Output Cases Template DT Public'!$B129</f>
        <v>#REF!</v>
      </c>
      <c r="E51" s="383" t="e">
        <f>('Program Summary'!#REF!-'Output Cases Template DT Public'!E$13)/$F$132/'Output Cases Template DT Public'!$B129</f>
        <v>#REF!</v>
      </c>
      <c r="F51" s="383" t="e">
        <f>('Program Summary'!#REF!-'Output Cases Template DT Public'!F$13)/$F$132/'Output Cases Template DT Public'!$B129</f>
        <v>#REF!</v>
      </c>
      <c r="G51" s="383" t="e">
        <f>('Program Summary'!#REF!-('Output Cases Template DT Public'!G$13*20*0.7145))/$F$132/'Output Cases Template DT Public'!$B129</f>
        <v>#REF!</v>
      </c>
      <c r="H51" s="383" t="e">
        <f>('Program Summary'!#REF!-('Output Cases Template DT Public'!H$13*20*0.7145))/$F$132/'Output Cases Template DT Public'!$B129</f>
        <v>#REF!</v>
      </c>
      <c r="I51" s="383" t="e">
        <f>('Program Summary'!#REF!-'Output Cases Template DT Public'!I$13)/$F$132/'Output Cases Template DT Public'!$B129</f>
        <v>#REF!</v>
      </c>
      <c r="J51" s="267"/>
    </row>
    <row r="52" spans="1:10" ht="11.25" customHeight="1" x14ac:dyDescent="0.3">
      <c r="A52" s="271"/>
      <c r="B52" s="382"/>
      <c r="C52" s="382"/>
      <c r="D52" s="382"/>
      <c r="E52" s="382"/>
      <c r="F52" s="382"/>
      <c r="G52" s="382"/>
      <c r="H52" s="382"/>
      <c r="I52" s="382"/>
      <c r="J52" s="273"/>
    </row>
    <row r="53" spans="1:10" ht="15.6" x14ac:dyDescent="0.3">
      <c r="A53" s="274" t="s">
        <v>258</v>
      </c>
      <c r="B53" s="383"/>
      <c r="C53" s="383"/>
      <c r="D53" s="383"/>
      <c r="E53" s="383"/>
      <c r="F53" s="383"/>
      <c r="G53" s="383"/>
      <c r="H53" s="383"/>
      <c r="I53" s="383"/>
      <c r="J53" s="267"/>
    </row>
    <row r="54" spans="1:10" ht="20.399999999999999" customHeight="1" x14ac:dyDescent="0.3">
      <c r="A54" s="277" t="s">
        <v>204</v>
      </c>
      <c r="B54" s="383" t="e">
        <f>((((((('Program Summary'!#REF!)-(B$43*$B$127))*(1-B$9))+'Program Summary'!#REF!))+((((('Program Summary'!#REF!)-(B$44*$B$128))*(1-B$9))+'Program Summary'!#REF!))+((((('Program Summary'!#REF!))*(1-B$9)))+'Program Summary'!#REF!))/$B$131/$F$132)-(((((((('Program Summary'!#REF!)-(B$43*$B$127))*(1-B$9))+'Program Summary'!#REF!))+((((('Program Summary'!#REF!)-(B$44*$B$128))*(1-B$9))+'Program Summary'!#REF!))+((((('Program Summary'!#REF!))*(1-B$9)))+'Program Summary'!#REF!))/$B$131/$F$132)*$F$131)</f>
        <v>#REF!</v>
      </c>
      <c r="C54" s="383" t="e">
        <f>((((((('Program Summary'!#REF!)-(C$43*$B$127))*(1-C$9))+'Program Summary'!#REF!))+((((('Program Summary'!#REF!)-(C$44*$B$128))*(1-C$9))+'Program Summary'!#REF!))+((((('Program Summary'!#REF!))*(1-C$9)))+'Program Summary'!#REF!))/$B$131/$F$132)-(((((((('Program Summary'!#REF!)-(C$43*$B$127))*(1-C$9))+'Program Summary'!#REF!))+((((('Program Summary'!#REF!)-(C$44*$B$128))*(1-C$9))+'Program Summary'!#REF!))+((((('Program Summary'!#REF!))*(1-C$9)))+'Program Summary'!#REF!))/$B$131/$F$132)*$F$131)</f>
        <v>#REF!</v>
      </c>
      <c r="D54" s="383" t="e">
        <f>((((((('Program Summary'!#REF!)-(D$43*$B$127))*(1-D$9))+'Program Summary'!#REF!))+((((('Program Summary'!#REF!)-(D$44*$B$128))*(1-D$9))+'Program Summary'!#REF!))+((((('Program Summary'!#REF!))*(1-D$9)))+'Program Summary'!#REF!))/$B$131/$F$132)-(((((((('Program Summary'!#REF!)-(D$43*$B$127))*(1-D$9))+'Program Summary'!#REF!))+((((('Program Summary'!#REF!)-(D$44*$B$128))*(1-D$9))+'Program Summary'!#REF!))+((((('Program Summary'!#REF!))*(1-D$9)))+'Program Summary'!#REF!))/$B$131/$F$132)*$F$131)</f>
        <v>#REF!</v>
      </c>
      <c r="E54" s="383" t="e">
        <f>((((((('Program Summary'!#REF!)-(E$43*$B$127))*(1-E$9))+'Program Summary'!#REF!))+((((('Program Summary'!#REF!)-(E$44*$B$128))*(1-E$9))+'Program Summary'!#REF!))+((((('Program Summary'!#REF!))*(1-E$9)))+'Program Summary'!#REF!))/$B$131/$F$132)-(((((((('Program Summary'!#REF!)-(E$43*$B$127))*(1-E$9))+'Program Summary'!#REF!))+((((('Program Summary'!#REF!)-(E$44*$B$128))*(1-E$9))+'Program Summary'!#REF!))+((((('Program Summary'!#REF!))*(1-E$9)))+'Program Summary'!#REF!))/$B$131/$F$132)*$F$131)</f>
        <v>#REF!</v>
      </c>
      <c r="F54" s="383" t="e">
        <f>((((((('Program Summary'!#REF!)-(F$43*$B$127))*(1-F$9))+'Program Summary'!#REF!))+((((('Program Summary'!#REF!)-(F$44*$B$128))*(1-F$9))+'Program Summary'!#REF!))+((((('Program Summary'!#REF!))*(1-F$9)))+'Program Summary'!#REF!))/$B$131/$F$132)-(((((((('Program Summary'!#REF!)-(F$43*$B$127))*(1-F$9))+'Program Summary'!#REF!))+((((('Program Summary'!#REF!)-(F$44*$B$128))*(1-F$9))+'Program Summary'!#REF!))+((((('Program Summary'!#REF!))*(1-F$9)))+'Program Summary'!#REF!))/$B$131/$F$132)*$F$131)</f>
        <v>#REF!</v>
      </c>
      <c r="G54" s="383" t="e">
        <f>((((((('Program Summary'!#REF!)-(G$43*$B$127))*(1-G$9))+'Program Summary'!#REF!))+((((('Program Summary'!#REF!)-(G$44*$B$128))*(1-G$9))+'Program Summary'!#REF!))+((((('Program Summary'!#REF!))*(1-G$9)))+'Program Summary'!#REF!))/$B$131/$F$132)-(((((((('Program Summary'!#REF!)-(G$43*$B$127))*(1-G$9))+'Program Summary'!#REF!))+((((('Program Summary'!#REF!)-(G$44*$B$128))*(1-G$9))+'Program Summary'!#REF!))+((((('Program Summary'!#REF!))*(1-G$9)))+'Program Summary'!#REF!))/$B$131/$F$132)*$F$131)</f>
        <v>#REF!</v>
      </c>
      <c r="H54" s="383" t="e">
        <f>((((((('Program Summary'!#REF!)-(H$43*$B$127))*(1-H$9))+'Program Summary'!#REF!))+((((('Program Summary'!#REF!)-(H$44*$B$128))*(1-H$9))+'Program Summary'!#REF!))+((((('Program Summary'!#REF!))*(1-H$9)))+'Program Summary'!#REF!))/$B$131/$F$132)-(((((((('Program Summary'!#REF!)-(H$43*$B$127))*(1-H$9))+'Program Summary'!#REF!))+((((('Program Summary'!#REF!)-(H$44*$B$128))*(1-H$9))+'Program Summary'!#REF!))+((((('Program Summary'!#REF!))*(1-H$9)))+'Program Summary'!#REF!))/$B$131/$F$132)*$F$131)</f>
        <v>#REF!</v>
      </c>
      <c r="I54" s="383" t="e">
        <f>((((((('Program Summary'!#REF!)-(I$43*$B$127))*(1-I$9))+'Program Summary'!#REF!))+((((('Program Summary'!#REF!)-(I$44*$B$128))*(1-I$9))+'Program Summary'!#REF!))+((((('Program Summary'!#REF!))*(1-I$9)))+'Program Summary'!#REF!))/$B$131/$F$132)-(((((((('Program Summary'!#REF!)-(I$43*$B$127))*(1-I$9))+'Program Summary'!#REF!))+((((('Program Summary'!#REF!)-(I$44*$B$128))*(1-I$9))+'Program Summary'!#REF!))+((((('Program Summary'!#REF!))*(1-I$9)))+'Program Summary'!#REF!))/$B$131/$F$132)*$F$131)</f>
        <v>#REF!</v>
      </c>
      <c r="J54" s="267"/>
    </row>
    <row r="55" spans="1:10" ht="20.399999999999999" customHeight="1" x14ac:dyDescent="0.3">
      <c r="A55" s="277" t="s">
        <v>205</v>
      </c>
      <c r="B55" s="383" t="e">
        <f>((((((('Program Summary'!#REF!)-(B$43*$B$127))*(1-B$9))+'Program Summary'!#REF!))+((((('Program Summary'!#REF!)-(B$44*$B$128))*(1-B$9))+'Program Summary'!#REF!))+((((('Program Summary'!#REF!))*(1-B$9)))+'Program Summary'!#REF!))/$B$131/$F$132)-(((((((('Program Summary'!#REF!)-(B$43*$B$127))*(1-B$9))+'Program Summary'!#REF!))+((((('Program Summary'!#REF!)-(B$44*$B$128))*(1-B$9))+'Program Summary'!#REF!))+((((('Program Summary'!#REF!))*(1-B$9)))+'Program Summary'!#REF!))/$B$131/$F$132)*$F$131)</f>
        <v>#REF!</v>
      </c>
      <c r="C55" s="383" t="e">
        <f>((((((('Program Summary'!#REF!)-(C$43*$B$127))*(1-C$9))+'Program Summary'!#REF!))+((((('Program Summary'!#REF!)-(C$44*$B$128))*(1-C$9))+'Program Summary'!#REF!))+((((('Program Summary'!#REF!))*(1-C$9)))+'Program Summary'!#REF!))/$B$131/$F$132)-(((((((('Program Summary'!#REF!)-(C$43*$B$127))*(1-C$9))+'Program Summary'!#REF!))+((((('Program Summary'!#REF!)-(C$44*$B$128))*(1-C$9))+'Program Summary'!#REF!))+((((('Program Summary'!#REF!))*(1-C$9)))+'Program Summary'!#REF!))/$B$131/$F$132)*$F$131)</f>
        <v>#REF!</v>
      </c>
      <c r="D55" s="383" t="e">
        <f>((((((('Program Summary'!#REF!)-(D$43*$B$127))*(1-D$9))+'Program Summary'!#REF!))+((((('Program Summary'!#REF!)-(D$44*$B$128))*(1-D$9))+'Program Summary'!#REF!))+((((('Program Summary'!#REF!))*(1-D$9)))+'Program Summary'!#REF!))/$B$131/$F$132)-(((((((('Program Summary'!#REF!)-(D$43*$B$127))*(1-D$9))+'Program Summary'!#REF!))+((((('Program Summary'!#REF!)-(D$44*$B$128))*(1-D$9))+'Program Summary'!#REF!))+((((('Program Summary'!#REF!))*(1-D$9)))+'Program Summary'!#REF!))/$B$131/$F$132)*$F$131)</f>
        <v>#REF!</v>
      </c>
      <c r="E55" s="383" t="e">
        <f>((((((('Program Summary'!#REF!)-(E$43*$B$127))*(1-E$9))+'Program Summary'!#REF!))+((((('Program Summary'!#REF!)-(E$44*$B$128))*(1-E$9))+'Program Summary'!#REF!))+((((('Program Summary'!#REF!))*(1-E$9)))+'Program Summary'!#REF!))/$B$131/$F$132)-(((((((('Program Summary'!#REF!)-(E$43*$B$127))*(1-E$9))+'Program Summary'!#REF!))+((((('Program Summary'!#REF!)-(E$44*$B$128))*(1-E$9))+'Program Summary'!#REF!))+((((('Program Summary'!#REF!))*(1-E$9)))+'Program Summary'!#REF!))/$B$131/$F$132)*$F$131)</f>
        <v>#REF!</v>
      </c>
      <c r="F55" s="383">
        <f>+'[4]Case 4'!E54</f>
        <v>354.91927307365194</v>
      </c>
      <c r="G55" s="383">
        <f>+'[4]Case 5'!E54</f>
        <v>354.91927307365194</v>
      </c>
      <c r="H55" s="383">
        <f>+'[4]Case 6'!E54</f>
        <v>259.31399979588366</v>
      </c>
      <c r="I55" s="383">
        <f>+'[4]Case 7'!E54</f>
        <v>443.84115759823101</v>
      </c>
      <c r="J55" s="267"/>
    </row>
    <row r="56" spans="1:10" ht="20.399999999999999" customHeight="1" x14ac:dyDescent="0.3">
      <c r="A56" s="277" t="s">
        <v>207</v>
      </c>
      <c r="B56" s="383" t="e">
        <f>((((((('Program Summary'!#REF!)-(B$43*$B$127))*(1-B$9))+'Program Summary'!#REF!))+((((('Program Summary'!#REF!)-(B$44*$B$128))*(1-B$9))+'Program Summary'!#REF!))+((((('Program Summary'!#REF!))*(1-B$9)))+'Program Summary'!#REF!))/$B$131/$F$132)-(((((((('Program Summary'!#REF!)-(B$43*$B$127))*(1-B$9))+'Program Summary'!#REF!))+((((('Program Summary'!#REF!)-(B$44*$B$128))*(1-B$9))+'Program Summary'!#REF!))+((((('Program Summary'!#REF!))*(1-B$9)))+'Program Summary'!#REF!))/$B$131/$F$132)*$F$131)</f>
        <v>#REF!</v>
      </c>
      <c r="C56" s="383" t="e">
        <f>((((((('Program Summary'!#REF!)-(C$43*$B$127))*(1-C$9))+'Program Summary'!#REF!))+((((('Program Summary'!#REF!)-(C$44*$B$128))*(1-C$9))+'Program Summary'!#REF!))+((((('Program Summary'!#REF!))*(1-C$9)))+'Program Summary'!#REF!))/$B$131/$F$132)-(((((((('Program Summary'!#REF!)-(C$43*$B$127))*(1-C$9))+'Program Summary'!#REF!))+((((('Program Summary'!#REF!)-(C$44*$B$128))*(1-C$9))+'Program Summary'!#REF!))+((((('Program Summary'!#REF!))*(1-C$9)))+'Program Summary'!#REF!))/$B$131/$F$132)*$F$131)</f>
        <v>#REF!</v>
      </c>
      <c r="D56" s="383" t="e">
        <f>((((((('Program Summary'!#REF!)-(D$43*$B$127))*(1-D$9))+'Program Summary'!#REF!))+((((('Program Summary'!#REF!)-(D$44*$B$128))*(1-D$9))+'Program Summary'!#REF!))+((((('Program Summary'!#REF!))*(1-D$9)))+'Program Summary'!#REF!))/$B$131/$F$132)-(((((((('Program Summary'!#REF!)-(D$43*$B$127))*(1-D$9))+'Program Summary'!#REF!))+((((('Program Summary'!#REF!)-(D$44*$B$128))*(1-D$9))+'Program Summary'!#REF!))+((((('Program Summary'!#REF!))*(1-D$9)))+'Program Summary'!#REF!))/$B$131/$F$132)*$F$131)</f>
        <v>#REF!</v>
      </c>
      <c r="E56" s="383" t="e">
        <f>((((((('Program Summary'!#REF!)-(E$43*$B$127))*(1-E$9))+'Program Summary'!#REF!))+((((('Program Summary'!#REF!)-(E$44*$B$128))*(1-E$9))+'Program Summary'!#REF!))+((((('Program Summary'!#REF!))*(1-E$9)))+'Program Summary'!#REF!))/$B$131/$F$132)-(((((((('Program Summary'!#REF!)-(E$43*$B$127))*(1-E$9))+'Program Summary'!#REF!))+((((('Program Summary'!#REF!)-(E$44*$B$128))*(1-E$9))+'Program Summary'!#REF!))+((((('Program Summary'!#REF!))*(1-E$9)))+'Program Summary'!#REF!))/$B$131/$F$132)*$F$131)</f>
        <v>#REF!</v>
      </c>
      <c r="F56" s="383">
        <f>+'[4]Case 4'!E71</f>
        <v>354.91927307365194</v>
      </c>
      <c r="G56" s="383">
        <f>+'[4]Case 5'!E71</f>
        <v>354.91927307365194</v>
      </c>
      <c r="H56" s="383">
        <f>+'[4]Case 6'!E71</f>
        <v>259.3139997958836</v>
      </c>
      <c r="I56" s="383">
        <f>+'[4]Case 7'!E71</f>
        <v>443.84115759823101</v>
      </c>
      <c r="J56" s="267"/>
    </row>
    <row r="57" spans="1:10" ht="11.25" customHeight="1" x14ac:dyDescent="0.3">
      <c r="A57" s="271"/>
      <c r="B57" s="382"/>
      <c r="C57" s="382"/>
      <c r="D57" s="382"/>
      <c r="E57" s="382"/>
      <c r="F57" s="382"/>
      <c r="G57" s="382"/>
      <c r="H57" s="382"/>
      <c r="I57" s="382"/>
      <c r="J57" s="273"/>
    </row>
    <row r="58" spans="1:10" ht="20.399999999999999" customHeight="1" x14ac:dyDescent="0.3">
      <c r="A58" s="274" t="s">
        <v>176</v>
      </c>
      <c r="B58" s="383"/>
      <c r="C58" s="383"/>
      <c r="D58" s="383"/>
      <c r="E58" s="383"/>
      <c r="F58" s="383"/>
      <c r="G58" s="383"/>
      <c r="H58" s="383"/>
      <c r="I58" s="383"/>
      <c r="J58" s="267"/>
    </row>
    <row r="59" spans="1:10" ht="20.399999999999999" customHeight="1" x14ac:dyDescent="0.3">
      <c r="A59" s="277" t="s">
        <v>204</v>
      </c>
      <c r="B59" s="381" t="e">
        <f t="shared" ref="B59:I60" si="6">+B48+B54+(B38/$F$134)+(B43/$F$134)</f>
        <v>#REF!</v>
      </c>
      <c r="C59" s="381" t="e">
        <f t="shared" si="6"/>
        <v>#REF!</v>
      </c>
      <c r="D59" s="381" t="e">
        <f t="shared" si="6"/>
        <v>#REF!</v>
      </c>
      <c r="E59" s="381" t="e">
        <f t="shared" si="6"/>
        <v>#REF!</v>
      </c>
      <c r="F59" s="381" t="e">
        <f t="shared" si="6"/>
        <v>#REF!</v>
      </c>
      <c r="G59" s="381" t="e">
        <f t="shared" si="6"/>
        <v>#REF!</v>
      </c>
      <c r="H59" s="381" t="e">
        <f t="shared" si="6"/>
        <v>#REF!</v>
      </c>
      <c r="I59" s="381" t="e">
        <f t="shared" si="6"/>
        <v>#REF!</v>
      </c>
      <c r="J59" s="267"/>
    </row>
    <row r="60" spans="1:10" ht="20.399999999999999" customHeight="1" x14ac:dyDescent="0.3">
      <c r="A60" s="277" t="s">
        <v>205</v>
      </c>
      <c r="B60" s="381" t="e">
        <f t="shared" si="6"/>
        <v>#REF!</v>
      </c>
      <c r="C60" s="381" t="e">
        <f t="shared" si="6"/>
        <v>#REF!</v>
      </c>
      <c r="D60" s="381" t="e">
        <f t="shared" si="6"/>
        <v>#REF!</v>
      </c>
      <c r="E60" s="381" t="e">
        <f t="shared" si="6"/>
        <v>#REF!</v>
      </c>
      <c r="F60" s="381" t="e">
        <f t="shared" si="6"/>
        <v>#REF!</v>
      </c>
      <c r="G60" s="381" t="e">
        <f t="shared" si="6"/>
        <v>#REF!</v>
      </c>
      <c r="H60" s="381" t="e">
        <f t="shared" si="6"/>
        <v>#REF!</v>
      </c>
      <c r="I60" s="381" t="e">
        <f t="shared" si="6"/>
        <v>#REF!</v>
      </c>
      <c r="J60" s="267"/>
    </row>
    <row r="61" spans="1:10" ht="20.399999999999999" customHeight="1" x14ac:dyDescent="0.3">
      <c r="A61" s="277" t="s">
        <v>207</v>
      </c>
      <c r="B61" s="381" t="e">
        <f t="shared" ref="B61:I61" si="7">+B50+B51+B56+(B40/$F$134)</f>
        <v>#REF!</v>
      </c>
      <c r="C61" s="381" t="e">
        <f t="shared" si="7"/>
        <v>#REF!</v>
      </c>
      <c r="D61" s="381" t="e">
        <f t="shared" si="7"/>
        <v>#REF!</v>
      </c>
      <c r="E61" s="381" t="e">
        <f t="shared" si="7"/>
        <v>#REF!</v>
      </c>
      <c r="F61" s="381" t="e">
        <f t="shared" si="7"/>
        <v>#REF!</v>
      </c>
      <c r="G61" s="381" t="e">
        <f t="shared" si="7"/>
        <v>#REF!</v>
      </c>
      <c r="H61" s="381" t="e">
        <f t="shared" si="7"/>
        <v>#REF!</v>
      </c>
      <c r="I61" s="381" t="e">
        <f t="shared" si="7"/>
        <v>#REF!</v>
      </c>
      <c r="J61" s="267"/>
    </row>
    <row r="62" spans="1:10" ht="15.6" hidden="1" x14ac:dyDescent="0.3">
      <c r="A62" s="267"/>
      <c r="B62" s="381"/>
      <c r="C62" s="381"/>
      <c r="D62" s="381"/>
      <c r="E62" s="381"/>
      <c r="F62" s="381"/>
      <c r="G62" s="381"/>
      <c r="H62" s="381"/>
      <c r="I62" s="385"/>
      <c r="J62" s="267"/>
    </row>
    <row r="63" spans="1:10" ht="15.6" hidden="1" x14ac:dyDescent="0.3">
      <c r="A63" s="274" t="s">
        <v>177</v>
      </c>
      <c r="B63" s="381">
        <f>+'[4]Case 1'!E99</f>
        <v>1763.7462903555024</v>
      </c>
      <c r="C63" s="381" t="str">
        <f>+'[4]Case 1'!F99</f>
        <v>Per Customer = Systemwide Average</v>
      </c>
      <c r="D63" s="381">
        <f>+'[4]Case 2'!E99</f>
        <v>1763.7462903555024</v>
      </c>
      <c r="E63" s="381">
        <f>+'[4]Case 3'!E99</f>
        <v>1554.6097550603845</v>
      </c>
      <c r="F63" s="381">
        <f>+'[4]Case 4'!E99</f>
        <v>1222.6470006236887</v>
      </c>
      <c r="G63" s="381">
        <f>+'[4]Case 5'!E99</f>
        <v>1222.6470006236887</v>
      </c>
      <c r="H63" s="381">
        <f>+'[4]Case 6'!E99</f>
        <v>1222.6470006236887</v>
      </c>
      <c r="I63" s="385">
        <f>+'[4]Case 7'!E99</f>
        <v>1763.7462903555024</v>
      </c>
      <c r="J63" s="267"/>
    </row>
    <row r="64" spans="1:10" ht="11.25" customHeight="1" x14ac:dyDescent="0.3">
      <c r="A64" s="271"/>
      <c r="B64" s="382"/>
      <c r="C64" s="382"/>
      <c r="D64" s="382"/>
      <c r="E64" s="382"/>
      <c r="F64" s="382"/>
      <c r="G64" s="382"/>
      <c r="H64" s="382"/>
      <c r="I64" s="382"/>
      <c r="J64" s="273"/>
    </row>
    <row r="65" spans="1:10" s="283" customFormat="1" ht="38.25" hidden="1" customHeight="1" x14ac:dyDescent="0.25">
      <c r="A65" s="281" t="s">
        <v>178</v>
      </c>
      <c r="B65" s="386" t="e">
        <f>B70</f>
        <v>#REF!</v>
      </c>
      <c r="C65" s="386" t="e">
        <f>C70</f>
        <v>#REF!</v>
      </c>
      <c r="D65" s="386" t="e">
        <f t="shared" ref="D65:I65" si="8">D70</f>
        <v>#REF!</v>
      </c>
      <c r="E65" s="386" t="e">
        <f t="shared" si="8"/>
        <v>#REF!</v>
      </c>
      <c r="F65" s="386" t="e">
        <f t="shared" si="8"/>
        <v>#REF!</v>
      </c>
      <c r="G65" s="386" t="e">
        <f t="shared" si="8"/>
        <v>#REF!</v>
      </c>
      <c r="H65" s="386" t="e">
        <f t="shared" si="8"/>
        <v>#REF!</v>
      </c>
      <c r="I65" s="386" t="e">
        <f t="shared" si="8"/>
        <v>#REF!</v>
      </c>
      <c r="J65" s="282">
        <v>2550</v>
      </c>
    </row>
    <row r="66" spans="1:10" s="283" customFormat="1" ht="38.25" customHeight="1" x14ac:dyDescent="0.25">
      <c r="A66" s="284" t="s">
        <v>294</v>
      </c>
      <c r="B66" s="387" t="s">
        <v>174</v>
      </c>
      <c r="C66" s="388" t="e">
        <f>-($B59-C59)/$B59</f>
        <v>#REF!</v>
      </c>
      <c r="D66" s="388" t="e">
        <f t="shared" ref="D66:I66" si="9">-($B59-D59)/$B59</f>
        <v>#REF!</v>
      </c>
      <c r="E66" s="388" t="e">
        <f t="shared" si="9"/>
        <v>#REF!</v>
      </c>
      <c r="F66" s="388" t="e">
        <f t="shared" si="9"/>
        <v>#REF!</v>
      </c>
      <c r="G66" s="388" t="e">
        <f t="shared" si="9"/>
        <v>#REF!</v>
      </c>
      <c r="H66" s="388" t="e">
        <f t="shared" si="9"/>
        <v>#REF!</v>
      </c>
      <c r="I66" s="388" t="e">
        <f t="shared" si="9"/>
        <v>#REF!</v>
      </c>
      <c r="J66" s="286" t="e">
        <f>-($B$65-J63)/$B$65</f>
        <v>#REF!</v>
      </c>
    </row>
    <row r="67" spans="1:10" s="283" customFormat="1" ht="38.25" customHeight="1" x14ac:dyDescent="0.25">
      <c r="A67" s="284" t="s">
        <v>295</v>
      </c>
      <c r="B67" s="387" t="s">
        <v>174</v>
      </c>
      <c r="C67" s="388" t="e">
        <f t="shared" ref="C67:I67" si="10">-($B60-C60)/$B60</f>
        <v>#REF!</v>
      </c>
      <c r="D67" s="388" t="e">
        <f t="shared" si="10"/>
        <v>#REF!</v>
      </c>
      <c r="E67" s="388" t="e">
        <f t="shared" si="10"/>
        <v>#REF!</v>
      </c>
      <c r="F67" s="388" t="e">
        <f t="shared" si="10"/>
        <v>#REF!</v>
      </c>
      <c r="G67" s="388" t="e">
        <f t="shared" si="10"/>
        <v>#REF!</v>
      </c>
      <c r="H67" s="388" t="e">
        <f t="shared" si="10"/>
        <v>#REF!</v>
      </c>
      <c r="I67" s="388" t="e">
        <f t="shared" si="10"/>
        <v>#REF!</v>
      </c>
      <c r="J67" s="286" t="e">
        <f>-($B$65-J64)/$B$65</f>
        <v>#REF!</v>
      </c>
    </row>
    <row r="68" spans="1:10" s="283" customFormat="1" ht="38.25" customHeight="1" x14ac:dyDescent="0.25">
      <c r="A68" s="284" t="s">
        <v>296</v>
      </c>
      <c r="B68" s="387" t="s">
        <v>174</v>
      </c>
      <c r="C68" s="388" t="e">
        <f t="shared" ref="C68:I68" si="11">-($B61-C61)/$B61</f>
        <v>#REF!</v>
      </c>
      <c r="D68" s="388" t="e">
        <f t="shared" si="11"/>
        <v>#REF!</v>
      </c>
      <c r="E68" s="388" t="e">
        <f t="shared" si="11"/>
        <v>#REF!</v>
      </c>
      <c r="F68" s="388" t="e">
        <f t="shared" si="11"/>
        <v>#REF!</v>
      </c>
      <c r="G68" s="388" t="e">
        <f t="shared" si="11"/>
        <v>#REF!</v>
      </c>
      <c r="H68" s="388" t="e">
        <f t="shared" si="11"/>
        <v>#REF!</v>
      </c>
      <c r="I68" s="388" t="e">
        <f t="shared" si="11"/>
        <v>#REF!</v>
      </c>
      <c r="J68" s="286" t="e">
        <f>-($B$65-J65)/$B$65</f>
        <v>#REF!</v>
      </c>
    </row>
    <row r="69" spans="1:10" s="283" customFormat="1" ht="15.6" x14ac:dyDescent="0.25">
      <c r="A69" s="260"/>
      <c r="B69" s="260"/>
      <c r="C69" s="260"/>
      <c r="D69" s="260"/>
      <c r="E69" s="260"/>
      <c r="F69" s="260"/>
      <c r="G69" s="260"/>
      <c r="H69" s="260"/>
      <c r="I69" s="260"/>
      <c r="J69" s="327"/>
    </row>
    <row r="70" spans="1:10" s="283" customFormat="1" ht="15.6" hidden="1" x14ac:dyDescent="0.3">
      <c r="A70" s="288" t="s">
        <v>231</v>
      </c>
      <c r="B70" s="328" t="e">
        <f t="shared" ref="B70:I70" si="12">IF(B60=0,((B59*$B130)+(B61*($B131+$B132)))/$B134,((B59*$B130)+(B60*$B131)+(B61*$B132))/$B134)</f>
        <v>#REF!</v>
      </c>
      <c r="C70" s="328" t="e">
        <f t="shared" si="12"/>
        <v>#REF!</v>
      </c>
      <c r="D70" s="328" t="e">
        <f t="shared" si="12"/>
        <v>#REF!</v>
      </c>
      <c r="E70" s="328" t="e">
        <f t="shared" si="12"/>
        <v>#REF!</v>
      </c>
      <c r="F70" s="328" t="e">
        <f t="shared" si="12"/>
        <v>#REF!</v>
      </c>
      <c r="G70" s="328" t="e">
        <f t="shared" si="12"/>
        <v>#REF!</v>
      </c>
      <c r="H70" s="328" t="e">
        <f t="shared" si="12"/>
        <v>#REF!</v>
      </c>
      <c r="I70" s="328" t="e">
        <f t="shared" si="12"/>
        <v>#REF!</v>
      </c>
      <c r="J70" s="327"/>
    </row>
    <row r="71" spans="1:10" s="283" customFormat="1" ht="15.6" hidden="1" x14ac:dyDescent="0.3">
      <c r="A71" s="288"/>
      <c r="B71" s="288"/>
      <c r="C71" s="288"/>
      <c r="D71" s="288"/>
      <c r="E71" s="288"/>
      <c r="F71" s="288"/>
      <c r="G71" s="288"/>
      <c r="H71" s="288"/>
      <c r="I71" s="288"/>
      <c r="J71" s="327"/>
    </row>
    <row r="72" spans="1:10" s="283" customFormat="1" ht="15.6" hidden="1" x14ac:dyDescent="0.3">
      <c r="A72" s="339" t="s">
        <v>246</v>
      </c>
      <c r="B72" s="340" t="e">
        <f>(B43*$B130)+(B38*$B130)+(((B54*$B130))*20)</f>
        <v>#REF!</v>
      </c>
      <c r="C72" s="340" t="e">
        <f t="shared" ref="C72" si="13">(C43*$B130)+(C38*$B130)+(((C54*$B130))*20)</f>
        <v>#REF!</v>
      </c>
      <c r="D72" s="340" t="e">
        <f t="shared" ref="D72:I73" si="14">(D43*$B130)+(D38*$B130)+(((D54*$B130))*20)</f>
        <v>#REF!</v>
      </c>
      <c r="E72" s="340" t="e">
        <f t="shared" si="14"/>
        <v>#REF!</v>
      </c>
      <c r="F72" s="340" t="e">
        <f t="shared" si="14"/>
        <v>#REF!</v>
      </c>
      <c r="G72" s="340" t="e">
        <f t="shared" si="14"/>
        <v>#REF!</v>
      </c>
      <c r="H72" s="340" t="e">
        <f t="shared" si="14"/>
        <v>#REF!</v>
      </c>
      <c r="I72" s="305" t="e">
        <f t="shared" si="14"/>
        <v>#REF!</v>
      </c>
      <c r="J72" s="327"/>
    </row>
    <row r="73" spans="1:10" s="283" customFormat="1" ht="15.6" hidden="1" x14ac:dyDescent="0.3">
      <c r="A73" s="341" t="s">
        <v>247</v>
      </c>
      <c r="B73" s="342" t="e">
        <f>(B44*$B131)+(B39*$B131)+(((B55*$B131))*20)</f>
        <v>#REF!</v>
      </c>
      <c r="C73" s="342" t="e">
        <f t="shared" ref="C73" si="15">(C44*$B131)+(C39*$B131)+(((C55*$B131))*20)</f>
        <v>#REF!</v>
      </c>
      <c r="D73" s="342" t="e">
        <f t="shared" si="14"/>
        <v>#REF!</v>
      </c>
      <c r="E73" s="342" t="e">
        <f t="shared" si="14"/>
        <v>#REF!</v>
      </c>
      <c r="F73" s="342" t="e">
        <f t="shared" si="14"/>
        <v>#REF!</v>
      </c>
      <c r="G73" s="342" t="e">
        <f t="shared" si="14"/>
        <v>#REF!</v>
      </c>
      <c r="H73" s="342" t="e">
        <f t="shared" si="14"/>
        <v>#REF!</v>
      </c>
      <c r="I73" s="343" t="e">
        <f t="shared" si="14"/>
        <v>#REF!</v>
      </c>
      <c r="J73" s="327"/>
    </row>
    <row r="74" spans="1:10" s="283" customFormat="1" ht="15.6" hidden="1" x14ac:dyDescent="0.3">
      <c r="A74" s="341" t="s">
        <v>248</v>
      </c>
      <c r="B74" s="342" t="e">
        <f t="shared" ref="B74:I74" si="16">(B40*$B132)+(((B56*$B132))*20)</f>
        <v>#REF!</v>
      </c>
      <c r="C74" s="342" t="e">
        <f t="shared" ref="C74" si="17">(C40*$B132)+(((C56*$B132))*20)</f>
        <v>#REF!</v>
      </c>
      <c r="D74" s="342" t="e">
        <f t="shared" si="16"/>
        <v>#REF!</v>
      </c>
      <c r="E74" s="342" t="e">
        <f t="shared" si="16"/>
        <v>#REF!</v>
      </c>
      <c r="F74" s="342" t="e">
        <f t="shared" si="16"/>
        <v>#REF!</v>
      </c>
      <c r="G74" s="342" t="e">
        <f t="shared" si="16"/>
        <v>#REF!</v>
      </c>
      <c r="H74" s="342" t="e">
        <f t="shared" si="16"/>
        <v>#REF!</v>
      </c>
      <c r="I74" s="343" t="e">
        <f t="shared" si="16"/>
        <v>#REF!</v>
      </c>
      <c r="J74" s="327"/>
    </row>
    <row r="75" spans="1:10" s="283" customFormat="1" ht="15.6" hidden="1" x14ac:dyDescent="0.3">
      <c r="A75" s="341" t="s">
        <v>249</v>
      </c>
      <c r="B75" s="342" t="e">
        <f t="shared" ref="B75:I75" si="18">(((B48*$B130)+(B49*$B131)+(B50*$B132))*$F$134)+(B13*20)</f>
        <v>#REF!</v>
      </c>
      <c r="C75" s="342" t="e">
        <f t="shared" si="18"/>
        <v>#REF!</v>
      </c>
      <c r="D75" s="342" t="e">
        <f t="shared" si="18"/>
        <v>#REF!</v>
      </c>
      <c r="E75" s="342" t="e">
        <f t="shared" si="18"/>
        <v>#REF!</v>
      </c>
      <c r="F75" s="342" t="e">
        <f t="shared" si="18"/>
        <v>#REF!</v>
      </c>
      <c r="G75" s="342" t="e">
        <f t="shared" si="18"/>
        <v>#REF!</v>
      </c>
      <c r="H75" s="342" t="e">
        <f t="shared" si="18"/>
        <v>#REF!</v>
      </c>
      <c r="I75" s="343" t="e">
        <f t="shared" si="18"/>
        <v>#REF!</v>
      </c>
      <c r="J75" s="327"/>
    </row>
    <row r="76" spans="1:10" s="283" customFormat="1" ht="15.6" hidden="1" x14ac:dyDescent="0.3">
      <c r="A76" s="341" t="s">
        <v>250</v>
      </c>
      <c r="B76" s="342"/>
      <c r="C76" s="342"/>
      <c r="D76" s="342"/>
      <c r="E76" s="342"/>
      <c r="F76" s="342"/>
      <c r="G76" s="342"/>
      <c r="H76" s="342"/>
      <c r="I76" s="343"/>
      <c r="J76" s="327"/>
    </row>
    <row r="77" spans="1:10" s="283" customFormat="1" ht="15.6" hidden="1" x14ac:dyDescent="0.3">
      <c r="A77" s="344" t="s">
        <v>251</v>
      </c>
      <c r="B77" s="345"/>
      <c r="C77" s="345"/>
      <c r="D77" s="345"/>
      <c r="E77" s="345"/>
      <c r="F77" s="345"/>
      <c r="G77" s="345"/>
      <c r="H77" s="345"/>
      <c r="I77" s="306"/>
      <c r="J77" s="327"/>
    </row>
    <row r="78" spans="1:10" s="283" customFormat="1" ht="15.6" hidden="1" x14ac:dyDescent="0.3">
      <c r="A78" s="346" t="s">
        <v>4</v>
      </c>
      <c r="B78" s="347" t="e">
        <f>SUM(B72:B77)</f>
        <v>#REF!</v>
      </c>
      <c r="C78" s="347" t="e">
        <f>SUM(C72:C77)</f>
        <v>#REF!</v>
      </c>
      <c r="D78" s="347" t="e">
        <f t="shared" ref="D78:I78" si="19">SUM(D72:D77)</f>
        <v>#REF!</v>
      </c>
      <c r="E78" s="347" t="e">
        <f t="shared" si="19"/>
        <v>#REF!</v>
      </c>
      <c r="F78" s="347" t="e">
        <f t="shared" si="19"/>
        <v>#REF!</v>
      </c>
      <c r="G78" s="347" t="e">
        <f t="shared" si="19"/>
        <v>#REF!</v>
      </c>
      <c r="H78" s="347" t="e">
        <f t="shared" si="19"/>
        <v>#REF!</v>
      </c>
      <c r="I78" s="314" t="e">
        <f t="shared" si="19"/>
        <v>#REF!</v>
      </c>
      <c r="J78" s="327"/>
    </row>
    <row r="79" spans="1:10" s="283" customFormat="1" ht="15.6" hidden="1" x14ac:dyDescent="0.3">
      <c r="A79" s="288"/>
      <c r="B79" s="328" t="e">
        <f t="shared" ref="B79:I79" si="20">(B23+B29+(B35*20))-B78</f>
        <v>#REF!</v>
      </c>
      <c r="C79" s="328" t="e">
        <f t="shared" si="20"/>
        <v>#REF!</v>
      </c>
      <c r="D79" s="328" t="e">
        <f t="shared" si="20"/>
        <v>#REF!</v>
      </c>
      <c r="E79" s="328" t="e">
        <f t="shared" si="20"/>
        <v>#REF!</v>
      </c>
      <c r="F79" s="328" t="e">
        <f t="shared" si="20"/>
        <v>#REF!</v>
      </c>
      <c r="G79" s="328" t="e">
        <f t="shared" si="20"/>
        <v>#REF!</v>
      </c>
      <c r="H79" s="328" t="e">
        <f t="shared" si="20"/>
        <v>#REF!</v>
      </c>
      <c r="I79" s="328" t="e">
        <f t="shared" si="20"/>
        <v>#REF!</v>
      </c>
      <c r="J79" s="327"/>
    </row>
    <row r="80" spans="1:10" s="283" customFormat="1" ht="15.6" hidden="1" x14ac:dyDescent="0.3">
      <c r="A80" s="288" t="s">
        <v>254</v>
      </c>
      <c r="B80" s="288"/>
      <c r="C80" s="288"/>
      <c r="D80" s="288"/>
      <c r="E80" s="288"/>
      <c r="F80" s="288"/>
      <c r="G80" s="288"/>
      <c r="H80" s="288"/>
      <c r="I80" s="288"/>
      <c r="J80" s="327"/>
    </row>
    <row r="81" spans="1:10" s="283" customFormat="1" ht="15.6" hidden="1" x14ac:dyDescent="0.3">
      <c r="A81" s="339" t="s">
        <v>252</v>
      </c>
      <c r="B81" s="340" t="e">
        <f>(B38*$B130)+(B39*$B131)+(B40*$B132)</f>
        <v>#REF!</v>
      </c>
      <c r="C81" s="340" t="e">
        <f>(C38*$B130)+(C39*$B131)+(C40*$B132)</f>
        <v>#REF!</v>
      </c>
      <c r="D81" s="340" t="e">
        <f t="shared" ref="D81:I81" si="21">(D38*$B130)+(D39*$B131)+(D40*$B132)</f>
        <v>#REF!</v>
      </c>
      <c r="E81" s="340" t="e">
        <f t="shared" si="21"/>
        <v>#REF!</v>
      </c>
      <c r="F81" s="340" t="e">
        <f t="shared" si="21"/>
        <v>#REF!</v>
      </c>
      <c r="G81" s="340" t="e">
        <f t="shared" si="21"/>
        <v>#REF!</v>
      </c>
      <c r="H81" s="340" t="e">
        <f t="shared" si="21"/>
        <v>#REF!</v>
      </c>
      <c r="I81" s="305" t="e">
        <f t="shared" si="21"/>
        <v>#REF!</v>
      </c>
      <c r="J81" s="327"/>
    </row>
    <row r="82" spans="1:10" s="283" customFormat="1" ht="15.6" hidden="1" x14ac:dyDescent="0.3">
      <c r="A82" s="341" t="s">
        <v>188</v>
      </c>
      <c r="B82" s="342">
        <f>(B43*$B130)+(B44*$B131)</f>
        <v>0</v>
      </c>
      <c r="C82" s="342">
        <f>(C43*$B130)+(C44*$B131)</f>
        <v>0</v>
      </c>
      <c r="D82" s="342">
        <f t="shared" ref="D82:I82" si="22">(D43*$B130)+(D44*$B131)</f>
        <v>0</v>
      </c>
      <c r="E82" s="342">
        <f t="shared" si="22"/>
        <v>0</v>
      </c>
      <c r="F82" s="342">
        <f t="shared" si="22"/>
        <v>0</v>
      </c>
      <c r="G82" s="342">
        <f t="shared" si="22"/>
        <v>0</v>
      </c>
      <c r="H82" s="342">
        <f t="shared" si="22"/>
        <v>0</v>
      </c>
      <c r="I82" s="343">
        <f t="shared" si="22"/>
        <v>0</v>
      </c>
      <c r="J82" s="327"/>
    </row>
    <row r="83" spans="1:10" s="283" customFormat="1" ht="15.6" hidden="1" x14ac:dyDescent="0.3">
      <c r="A83" s="341" t="s">
        <v>253</v>
      </c>
      <c r="B83" s="342" t="e">
        <f>((B48*$B130)+(B49*$B131)+(B50*$B132))*20</f>
        <v>#REF!</v>
      </c>
      <c r="C83" s="342" t="e">
        <f>((C48*$B130)+(C49*$B131)+(C50*$B132))*20</f>
        <v>#REF!</v>
      </c>
      <c r="D83" s="342" t="e">
        <f t="shared" ref="D83:I83" si="23">((D48*$B130)+(D49*$B131)+(D50*$B132))*20</f>
        <v>#REF!</v>
      </c>
      <c r="E83" s="342" t="e">
        <f t="shared" si="23"/>
        <v>#REF!</v>
      </c>
      <c r="F83" s="342" t="e">
        <f t="shared" si="23"/>
        <v>#REF!</v>
      </c>
      <c r="G83" s="342" t="e">
        <f t="shared" si="23"/>
        <v>#REF!</v>
      </c>
      <c r="H83" s="342" t="e">
        <f t="shared" si="23"/>
        <v>#REF!</v>
      </c>
      <c r="I83" s="343" t="e">
        <f t="shared" si="23"/>
        <v>#REF!</v>
      </c>
      <c r="J83" s="327"/>
    </row>
    <row r="84" spans="1:10" s="283" customFormat="1" ht="15.6" hidden="1" x14ac:dyDescent="0.3">
      <c r="A84" s="341" t="s">
        <v>259</v>
      </c>
      <c r="B84" s="342" t="e">
        <f>((B54*$B130)+(B55*$B131)+(B56*$B132))*20</f>
        <v>#REF!</v>
      </c>
      <c r="C84" s="342" t="e">
        <f>((C54*$B130)+(C55*$B131)+(C56*$B132))*20</f>
        <v>#REF!</v>
      </c>
      <c r="D84" s="342" t="e">
        <f t="shared" ref="D84:I84" si="24">((D54*$B130)+(D55*$B131)+(D56*$B132))*20</f>
        <v>#REF!</v>
      </c>
      <c r="E84" s="342" t="e">
        <f t="shared" si="24"/>
        <v>#REF!</v>
      </c>
      <c r="F84" s="342" t="e">
        <f t="shared" si="24"/>
        <v>#REF!</v>
      </c>
      <c r="G84" s="342" t="e">
        <f t="shared" si="24"/>
        <v>#REF!</v>
      </c>
      <c r="H84" s="342" t="e">
        <f t="shared" si="24"/>
        <v>#REF!</v>
      </c>
      <c r="I84" s="343" t="e">
        <f t="shared" si="24"/>
        <v>#REF!</v>
      </c>
      <c r="J84" s="327"/>
    </row>
    <row r="85" spans="1:10" s="283" customFormat="1" ht="15.6" hidden="1" x14ac:dyDescent="0.3">
      <c r="A85" s="341" t="s">
        <v>187</v>
      </c>
      <c r="B85" s="342">
        <f t="shared" ref="B85:G85" si="25">B13*20</f>
        <v>0</v>
      </c>
      <c r="C85" s="342">
        <f t="shared" si="25"/>
        <v>0</v>
      </c>
      <c r="D85" s="342">
        <f t="shared" si="25"/>
        <v>0</v>
      </c>
      <c r="E85" s="342">
        <f t="shared" si="25"/>
        <v>11680000</v>
      </c>
      <c r="F85" s="342">
        <f t="shared" si="25"/>
        <v>0</v>
      </c>
      <c r="G85" s="342">
        <f t="shared" si="25"/>
        <v>11680000</v>
      </c>
      <c r="H85" s="342">
        <f>H13*20</f>
        <v>11680000</v>
      </c>
      <c r="I85" s="342">
        <f>I13*20</f>
        <v>11680000</v>
      </c>
      <c r="J85" s="327"/>
    </row>
    <row r="86" spans="1:10" s="283" customFormat="1" ht="15.6" hidden="1" x14ac:dyDescent="0.3">
      <c r="A86" s="344" t="s">
        <v>5</v>
      </c>
      <c r="B86" s="345"/>
      <c r="C86" s="345"/>
      <c r="D86" s="345"/>
      <c r="E86" s="345"/>
      <c r="F86" s="345"/>
      <c r="G86" s="345"/>
      <c r="H86" s="345"/>
      <c r="I86" s="306"/>
      <c r="J86" s="327"/>
    </row>
    <row r="87" spans="1:10" s="283" customFormat="1" ht="15.6" hidden="1" x14ac:dyDescent="0.3">
      <c r="A87" s="346" t="s">
        <v>4</v>
      </c>
      <c r="B87" s="347" t="e">
        <f>SUM(B81:B86)</f>
        <v>#REF!</v>
      </c>
      <c r="C87" s="347" t="e">
        <f>SUM(C81:C86)</f>
        <v>#REF!</v>
      </c>
      <c r="D87" s="347" t="e">
        <f t="shared" ref="D87:I87" si="26">SUM(D81:D86)</f>
        <v>#REF!</v>
      </c>
      <c r="E87" s="347" t="e">
        <f t="shared" si="26"/>
        <v>#REF!</v>
      </c>
      <c r="F87" s="347" t="e">
        <f t="shared" si="26"/>
        <v>#REF!</v>
      </c>
      <c r="G87" s="347" t="e">
        <f t="shared" si="26"/>
        <v>#REF!</v>
      </c>
      <c r="H87" s="347" t="e">
        <f t="shared" si="26"/>
        <v>#REF!</v>
      </c>
      <c r="I87" s="314" t="e">
        <f t="shared" si="26"/>
        <v>#REF!</v>
      </c>
      <c r="J87" s="327"/>
    </row>
    <row r="88" spans="1:10" s="283" customFormat="1" ht="15.6" hidden="1" x14ac:dyDescent="0.3">
      <c r="A88" s="288"/>
      <c r="B88" s="328" t="e">
        <f t="shared" ref="B88:I88" si="27">(B23+B29+(B35*20))-B87</f>
        <v>#REF!</v>
      </c>
      <c r="C88" s="328" t="e">
        <f t="shared" si="27"/>
        <v>#REF!</v>
      </c>
      <c r="D88" s="328" t="e">
        <f t="shared" si="27"/>
        <v>#REF!</v>
      </c>
      <c r="E88" s="328" t="e">
        <f t="shared" si="27"/>
        <v>#REF!</v>
      </c>
      <c r="F88" s="328" t="e">
        <f t="shared" si="27"/>
        <v>#REF!</v>
      </c>
      <c r="G88" s="328" t="e">
        <f t="shared" si="27"/>
        <v>#REF!</v>
      </c>
      <c r="H88" s="328" t="e">
        <f t="shared" si="27"/>
        <v>#REF!</v>
      </c>
      <c r="I88" s="328" t="e">
        <f t="shared" si="27"/>
        <v>#REF!</v>
      </c>
      <c r="J88" s="327"/>
    </row>
    <row r="89" spans="1:10" s="283" customFormat="1" ht="15.6" hidden="1" x14ac:dyDescent="0.3">
      <c r="A89" s="288" t="s">
        <v>255</v>
      </c>
      <c r="B89" s="288"/>
      <c r="C89" s="288"/>
      <c r="D89" s="288"/>
      <c r="E89" s="288"/>
      <c r="F89" s="288"/>
      <c r="G89" s="288"/>
      <c r="H89" s="288"/>
      <c r="I89" s="288"/>
      <c r="J89" s="327"/>
    </row>
    <row r="90" spans="1:10" s="283" customFormat="1" ht="15.6" hidden="1" x14ac:dyDescent="0.3">
      <c r="A90" s="339" t="s">
        <v>252</v>
      </c>
      <c r="B90" s="340" t="e">
        <f>(B38*$B$130)</f>
        <v>#REF!</v>
      </c>
      <c r="C90" s="340" t="e">
        <f>(C38*$B$130)</f>
        <v>#REF!</v>
      </c>
      <c r="D90" s="340" t="e">
        <f t="shared" ref="D90:I90" si="28">(D38*$B$130)</f>
        <v>#REF!</v>
      </c>
      <c r="E90" s="340" t="e">
        <f t="shared" si="28"/>
        <v>#REF!</v>
      </c>
      <c r="F90" s="340" t="e">
        <f t="shared" si="28"/>
        <v>#REF!</v>
      </c>
      <c r="G90" s="340" t="e">
        <f t="shared" si="28"/>
        <v>#REF!</v>
      </c>
      <c r="H90" s="340" t="e">
        <f t="shared" si="28"/>
        <v>#REF!</v>
      </c>
      <c r="I90" s="305" t="e">
        <f t="shared" si="28"/>
        <v>#REF!</v>
      </c>
      <c r="J90" s="327"/>
    </row>
    <row r="91" spans="1:10" s="283" customFormat="1" ht="15.6" hidden="1" x14ac:dyDescent="0.3">
      <c r="A91" s="341" t="s">
        <v>188</v>
      </c>
      <c r="B91" s="342">
        <f>(B43*$B$130)</f>
        <v>0</v>
      </c>
      <c r="C91" s="342">
        <f>(C43*$B$130)</f>
        <v>0</v>
      </c>
      <c r="D91" s="342">
        <f t="shared" ref="D91:I91" si="29">(D43*$B$130)</f>
        <v>0</v>
      </c>
      <c r="E91" s="342">
        <f t="shared" si="29"/>
        <v>0</v>
      </c>
      <c r="F91" s="342">
        <f t="shared" si="29"/>
        <v>0</v>
      </c>
      <c r="G91" s="342">
        <f t="shared" si="29"/>
        <v>0</v>
      </c>
      <c r="H91" s="342">
        <f t="shared" si="29"/>
        <v>0</v>
      </c>
      <c r="I91" s="343">
        <f t="shared" si="29"/>
        <v>0</v>
      </c>
      <c r="J91" s="327"/>
    </row>
    <row r="92" spans="1:10" s="283" customFormat="1" ht="15.6" hidden="1" x14ac:dyDescent="0.3">
      <c r="A92" s="341" t="s">
        <v>253</v>
      </c>
      <c r="B92" s="342" t="e">
        <f>(B48*$B$130)*20</f>
        <v>#REF!</v>
      </c>
      <c r="C92" s="342" t="e">
        <f>(C48*$B$130)*20</f>
        <v>#REF!</v>
      </c>
      <c r="D92" s="342" t="e">
        <f t="shared" ref="D92:I92" si="30">(D48*$B$130)*20</f>
        <v>#REF!</v>
      </c>
      <c r="E92" s="342" t="e">
        <f t="shared" si="30"/>
        <v>#REF!</v>
      </c>
      <c r="F92" s="342" t="e">
        <f t="shared" si="30"/>
        <v>#REF!</v>
      </c>
      <c r="G92" s="342" t="e">
        <f t="shared" si="30"/>
        <v>#REF!</v>
      </c>
      <c r="H92" s="342" t="e">
        <f t="shared" si="30"/>
        <v>#REF!</v>
      </c>
      <c r="I92" s="343" t="e">
        <f t="shared" si="30"/>
        <v>#REF!</v>
      </c>
      <c r="J92" s="327"/>
    </row>
    <row r="93" spans="1:10" s="283" customFormat="1" ht="15.6" hidden="1" x14ac:dyDescent="0.3">
      <c r="A93" s="341" t="s">
        <v>259</v>
      </c>
      <c r="B93" s="342" t="e">
        <f>(B54*$B$130)*20</f>
        <v>#REF!</v>
      </c>
      <c r="C93" s="342" t="e">
        <f>(C54*$B$130)*20</f>
        <v>#REF!</v>
      </c>
      <c r="D93" s="342" t="e">
        <f t="shared" ref="D93:I93" si="31">(D54*$B$130)*20</f>
        <v>#REF!</v>
      </c>
      <c r="E93" s="342" t="e">
        <f t="shared" si="31"/>
        <v>#REF!</v>
      </c>
      <c r="F93" s="342" t="e">
        <f t="shared" si="31"/>
        <v>#REF!</v>
      </c>
      <c r="G93" s="342" t="e">
        <f t="shared" si="31"/>
        <v>#REF!</v>
      </c>
      <c r="H93" s="342" t="e">
        <f t="shared" si="31"/>
        <v>#REF!</v>
      </c>
      <c r="I93" s="343" t="e">
        <f t="shared" si="31"/>
        <v>#REF!</v>
      </c>
      <c r="J93" s="327"/>
    </row>
    <row r="94" spans="1:10" s="283" customFormat="1" ht="15.6" hidden="1" x14ac:dyDescent="0.3">
      <c r="A94" s="341" t="s">
        <v>187</v>
      </c>
      <c r="B94" s="342">
        <f t="shared" ref="B94:G94" si="32">(B$13*20)/3</f>
        <v>0</v>
      </c>
      <c r="C94" s="342">
        <f t="shared" si="32"/>
        <v>0</v>
      </c>
      <c r="D94" s="342">
        <f t="shared" si="32"/>
        <v>0</v>
      </c>
      <c r="E94" s="342">
        <f t="shared" si="32"/>
        <v>3893333.3333333335</v>
      </c>
      <c r="F94" s="342">
        <f t="shared" si="32"/>
        <v>0</v>
      </c>
      <c r="G94" s="342">
        <f t="shared" si="32"/>
        <v>3893333.3333333335</v>
      </c>
      <c r="H94" s="342">
        <f>(H$13*20)/3</f>
        <v>3893333.3333333335</v>
      </c>
      <c r="I94" s="343">
        <f t="shared" ref="I94" si="33">(I$13*20)/3</f>
        <v>3893333.3333333335</v>
      </c>
      <c r="J94" s="327"/>
    </row>
    <row r="95" spans="1:10" s="283" customFormat="1" ht="15.6" hidden="1" x14ac:dyDescent="0.3">
      <c r="A95" s="344" t="s">
        <v>5</v>
      </c>
      <c r="B95" s="345"/>
      <c r="C95" s="345"/>
      <c r="D95" s="345"/>
      <c r="E95" s="345"/>
      <c r="F95" s="345"/>
      <c r="G95" s="345"/>
      <c r="H95" s="345"/>
      <c r="I95" s="306"/>
      <c r="J95" s="327"/>
    </row>
    <row r="96" spans="1:10" s="283" customFormat="1" ht="15.6" hidden="1" x14ac:dyDescent="0.3">
      <c r="A96" s="346" t="s">
        <v>4</v>
      </c>
      <c r="B96" s="347" t="e">
        <f>SUM(B90:B95)</f>
        <v>#REF!</v>
      </c>
      <c r="C96" s="347" t="e">
        <f>SUM(C90:C95)</f>
        <v>#REF!</v>
      </c>
      <c r="D96" s="347" t="e">
        <f t="shared" ref="D96:I96" si="34">SUM(D90:D95)</f>
        <v>#REF!</v>
      </c>
      <c r="E96" s="347" t="e">
        <f t="shared" si="34"/>
        <v>#REF!</v>
      </c>
      <c r="F96" s="347" t="e">
        <f t="shared" si="34"/>
        <v>#REF!</v>
      </c>
      <c r="G96" s="347" t="e">
        <f t="shared" si="34"/>
        <v>#REF!</v>
      </c>
      <c r="H96" s="347" t="e">
        <f t="shared" si="34"/>
        <v>#REF!</v>
      </c>
      <c r="I96" s="314" t="e">
        <f t="shared" si="34"/>
        <v>#REF!</v>
      </c>
      <c r="J96" s="327"/>
    </row>
    <row r="97" spans="1:10" s="283" customFormat="1" ht="15.6" hidden="1" x14ac:dyDescent="0.3">
      <c r="A97" s="288"/>
      <c r="B97" s="328"/>
      <c r="C97" s="328"/>
      <c r="D97" s="328"/>
      <c r="E97" s="328"/>
      <c r="F97" s="328"/>
      <c r="G97" s="328"/>
      <c r="H97" s="328"/>
      <c r="I97" s="328"/>
      <c r="J97" s="327"/>
    </row>
    <row r="98" spans="1:10" s="283" customFormat="1" ht="15.6" hidden="1" x14ac:dyDescent="0.3">
      <c r="A98" s="288" t="s">
        <v>256</v>
      </c>
      <c r="B98" s="288"/>
      <c r="C98" s="288"/>
      <c r="D98" s="288"/>
      <c r="E98" s="288"/>
      <c r="F98" s="288"/>
      <c r="G98" s="288"/>
      <c r="H98" s="288"/>
      <c r="I98" s="288"/>
      <c r="J98" s="327"/>
    </row>
    <row r="99" spans="1:10" s="283" customFormat="1" ht="15.6" hidden="1" x14ac:dyDescent="0.3">
      <c r="A99" s="339" t="s">
        <v>252</v>
      </c>
      <c r="B99" s="340" t="e">
        <f>(B39*$B$131)</f>
        <v>#REF!</v>
      </c>
      <c r="C99" s="340" t="e">
        <f>(C39*$B$131)</f>
        <v>#REF!</v>
      </c>
      <c r="D99" s="340" t="e">
        <f t="shared" ref="D99:I99" si="35">(D39*$B$131)</f>
        <v>#REF!</v>
      </c>
      <c r="E99" s="340" t="e">
        <f t="shared" si="35"/>
        <v>#REF!</v>
      </c>
      <c r="F99" s="340" t="e">
        <f t="shared" si="35"/>
        <v>#REF!</v>
      </c>
      <c r="G99" s="340" t="e">
        <f t="shared" si="35"/>
        <v>#REF!</v>
      </c>
      <c r="H99" s="340" t="e">
        <f t="shared" si="35"/>
        <v>#REF!</v>
      </c>
      <c r="I99" s="305" t="e">
        <f t="shared" si="35"/>
        <v>#REF!</v>
      </c>
      <c r="J99" s="327"/>
    </row>
    <row r="100" spans="1:10" s="283" customFormat="1" ht="15.6" hidden="1" x14ac:dyDescent="0.3">
      <c r="A100" s="341" t="s">
        <v>188</v>
      </c>
      <c r="B100" s="342">
        <f>(B44*$B$131)</f>
        <v>0</v>
      </c>
      <c r="C100" s="342">
        <f>(C44*$B$131)</f>
        <v>0</v>
      </c>
      <c r="D100" s="342">
        <f t="shared" ref="D100:I100" si="36">(D44*$B$131)</f>
        <v>0</v>
      </c>
      <c r="E100" s="342">
        <f t="shared" si="36"/>
        <v>0</v>
      </c>
      <c r="F100" s="342">
        <f t="shared" si="36"/>
        <v>0</v>
      </c>
      <c r="G100" s="342">
        <f t="shared" si="36"/>
        <v>0</v>
      </c>
      <c r="H100" s="342">
        <f t="shared" si="36"/>
        <v>0</v>
      </c>
      <c r="I100" s="343">
        <f t="shared" si="36"/>
        <v>0</v>
      </c>
      <c r="J100" s="327"/>
    </row>
    <row r="101" spans="1:10" s="283" customFormat="1" ht="15.6" hidden="1" x14ac:dyDescent="0.3">
      <c r="A101" s="341" t="s">
        <v>253</v>
      </c>
      <c r="B101" s="342" t="e">
        <f>(B49*$B$131)*20</f>
        <v>#REF!</v>
      </c>
      <c r="C101" s="342" t="e">
        <f>(C49*$B$131)*20</f>
        <v>#REF!</v>
      </c>
      <c r="D101" s="342" t="e">
        <f t="shared" ref="D101:I101" si="37">(D49*$B$131)*20</f>
        <v>#REF!</v>
      </c>
      <c r="E101" s="342" t="e">
        <f t="shared" si="37"/>
        <v>#REF!</v>
      </c>
      <c r="F101" s="342" t="e">
        <f t="shared" si="37"/>
        <v>#REF!</v>
      </c>
      <c r="G101" s="342" t="e">
        <f t="shared" si="37"/>
        <v>#REF!</v>
      </c>
      <c r="H101" s="342" t="e">
        <f t="shared" si="37"/>
        <v>#REF!</v>
      </c>
      <c r="I101" s="343" t="e">
        <f t="shared" si="37"/>
        <v>#REF!</v>
      </c>
      <c r="J101" s="327"/>
    </row>
    <row r="102" spans="1:10" s="283" customFormat="1" ht="15.6" hidden="1" x14ac:dyDescent="0.3">
      <c r="A102" s="341" t="s">
        <v>259</v>
      </c>
      <c r="B102" s="342" t="e">
        <f>(B55*$B$131)*20</f>
        <v>#REF!</v>
      </c>
      <c r="C102" s="342" t="e">
        <f>(C55*$B$131)*20</f>
        <v>#REF!</v>
      </c>
      <c r="D102" s="342" t="e">
        <f t="shared" ref="D102:I102" si="38">(D55*$B$131)*20</f>
        <v>#REF!</v>
      </c>
      <c r="E102" s="342" t="e">
        <f t="shared" si="38"/>
        <v>#REF!</v>
      </c>
      <c r="F102" s="342">
        <f t="shared" si="38"/>
        <v>2640599.3916679705</v>
      </c>
      <c r="G102" s="342">
        <f t="shared" si="38"/>
        <v>2640599.3916679705</v>
      </c>
      <c r="H102" s="342">
        <f t="shared" si="38"/>
        <v>1929296.1584813744</v>
      </c>
      <c r="I102" s="343">
        <f t="shared" si="38"/>
        <v>3302178.2125308388</v>
      </c>
      <c r="J102" s="327"/>
    </row>
    <row r="103" spans="1:10" s="283" customFormat="1" ht="15.6" hidden="1" x14ac:dyDescent="0.3">
      <c r="A103" s="341" t="s">
        <v>187</v>
      </c>
      <c r="B103" s="342">
        <f t="shared" ref="B103:I103" si="39">(B$13*20)/3</f>
        <v>0</v>
      </c>
      <c r="C103" s="342">
        <f t="shared" si="39"/>
        <v>0</v>
      </c>
      <c r="D103" s="342">
        <f t="shared" si="39"/>
        <v>0</v>
      </c>
      <c r="E103" s="342">
        <f t="shared" si="39"/>
        <v>3893333.3333333335</v>
      </c>
      <c r="F103" s="342">
        <f t="shared" si="39"/>
        <v>0</v>
      </c>
      <c r="G103" s="342">
        <f t="shared" si="39"/>
        <v>3893333.3333333335</v>
      </c>
      <c r="H103" s="342">
        <f t="shared" si="39"/>
        <v>3893333.3333333335</v>
      </c>
      <c r="I103" s="343">
        <f t="shared" si="39"/>
        <v>3893333.3333333335</v>
      </c>
      <c r="J103" s="327"/>
    </row>
    <row r="104" spans="1:10" s="283" customFormat="1" ht="15.6" hidden="1" x14ac:dyDescent="0.3">
      <c r="A104" s="344" t="s">
        <v>5</v>
      </c>
      <c r="B104" s="345"/>
      <c r="C104" s="345"/>
      <c r="D104" s="345"/>
      <c r="E104" s="345"/>
      <c r="F104" s="345"/>
      <c r="G104" s="345"/>
      <c r="H104" s="345"/>
      <c r="I104" s="306"/>
      <c r="J104" s="327"/>
    </row>
    <row r="105" spans="1:10" s="283" customFormat="1" ht="15.6" hidden="1" x14ac:dyDescent="0.3">
      <c r="A105" s="346" t="s">
        <v>4</v>
      </c>
      <c r="B105" s="347" t="e">
        <f>SUM(B99:B104)</f>
        <v>#REF!</v>
      </c>
      <c r="C105" s="347" t="e">
        <f>SUM(C99:C104)</f>
        <v>#REF!</v>
      </c>
      <c r="D105" s="347" t="e">
        <f t="shared" ref="D105:I105" si="40">SUM(D99:D104)</f>
        <v>#REF!</v>
      </c>
      <c r="E105" s="347" t="e">
        <f t="shared" si="40"/>
        <v>#REF!</v>
      </c>
      <c r="F105" s="347" t="e">
        <f t="shared" si="40"/>
        <v>#REF!</v>
      </c>
      <c r="G105" s="347" t="e">
        <f t="shared" si="40"/>
        <v>#REF!</v>
      </c>
      <c r="H105" s="347" t="e">
        <f t="shared" si="40"/>
        <v>#REF!</v>
      </c>
      <c r="I105" s="314" t="e">
        <f t="shared" si="40"/>
        <v>#REF!</v>
      </c>
      <c r="J105" s="327"/>
    </row>
    <row r="106" spans="1:10" s="283" customFormat="1" ht="15.6" hidden="1" x14ac:dyDescent="0.3">
      <c r="A106" s="288"/>
      <c r="B106" s="328"/>
      <c r="C106" s="328"/>
      <c r="D106" s="328"/>
      <c r="E106" s="328"/>
      <c r="F106" s="328"/>
      <c r="G106" s="328"/>
      <c r="H106" s="328"/>
      <c r="I106" s="328"/>
      <c r="J106" s="327"/>
    </row>
    <row r="107" spans="1:10" s="283" customFormat="1" ht="15.6" hidden="1" x14ac:dyDescent="0.3">
      <c r="A107" s="288" t="s">
        <v>257</v>
      </c>
      <c r="B107" s="288"/>
      <c r="C107" s="288"/>
      <c r="D107" s="288"/>
      <c r="E107" s="288"/>
      <c r="F107" s="288"/>
      <c r="G107" s="288"/>
      <c r="H107" s="288"/>
      <c r="I107" s="288"/>
      <c r="J107" s="327"/>
    </row>
    <row r="108" spans="1:10" s="283" customFormat="1" ht="15.6" hidden="1" x14ac:dyDescent="0.3">
      <c r="A108" s="339" t="s">
        <v>252</v>
      </c>
      <c r="B108" s="340" t="e">
        <f>(B40*$B$132)</f>
        <v>#REF!</v>
      </c>
      <c r="C108" s="340" t="e">
        <f>(C40*$B$132)</f>
        <v>#REF!</v>
      </c>
      <c r="D108" s="340" t="e">
        <f t="shared" ref="D108:I108" si="41">(D40*$B$132)</f>
        <v>#REF!</v>
      </c>
      <c r="E108" s="340" t="e">
        <f t="shared" si="41"/>
        <v>#REF!</v>
      </c>
      <c r="F108" s="340" t="e">
        <f t="shared" si="41"/>
        <v>#REF!</v>
      </c>
      <c r="G108" s="340" t="e">
        <f t="shared" si="41"/>
        <v>#REF!</v>
      </c>
      <c r="H108" s="340" t="e">
        <f t="shared" si="41"/>
        <v>#REF!</v>
      </c>
      <c r="I108" s="305" t="e">
        <f t="shared" si="41"/>
        <v>#REF!</v>
      </c>
      <c r="J108" s="327"/>
    </row>
    <row r="109" spans="1:10" s="283" customFormat="1" ht="15.6" hidden="1" x14ac:dyDescent="0.3">
      <c r="A109" s="341" t="s">
        <v>188</v>
      </c>
      <c r="B109" s="342">
        <v>0</v>
      </c>
      <c r="C109" s="342">
        <v>0</v>
      </c>
      <c r="D109" s="342">
        <v>0</v>
      </c>
      <c r="E109" s="342">
        <v>0</v>
      </c>
      <c r="F109" s="342">
        <v>0</v>
      </c>
      <c r="G109" s="342">
        <v>0</v>
      </c>
      <c r="H109" s="342">
        <v>0</v>
      </c>
      <c r="I109" s="343">
        <v>0</v>
      </c>
      <c r="J109" s="327"/>
    </row>
    <row r="110" spans="1:10" s="283" customFormat="1" ht="15.6" hidden="1" x14ac:dyDescent="0.3">
      <c r="A110" s="341" t="s">
        <v>253</v>
      </c>
      <c r="B110" s="342" t="e">
        <f>(B50*$B$132)*20</f>
        <v>#REF!</v>
      </c>
      <c r="C110" s="342" t="e">
        <f>(C50*$B$132)*20</f>
        <v>#REF!</v>
      </c>
      <c r="D110" s="342" t="e">
        <f t="shared" ref="D110:I110" si="42">(D50*$B$132)*20</f>
        <v>#REF!</v>
      </c>
      <c r="E110" s="342" t="e">
        <f t="shared" si="42"/>
        <v>#REF!</v>
      </c>
      <c r="F110" s="342" t="e">
        <f t="shared" si="42"/>
        <v>#REF!</v>
      </c>
      <c r="G110" s="342" t="e">
        <f t="shared" si="42"/>
        <v>#REF!</v>
      </c>
      <c r="H110" s="342" t="e">
        <f t="shared" si="42"/>
        <v>#REF!</v>
      </c>
      <c r="I110" s="343" t="e">
        <f t="shared" si="42"/>
        <v>#REF!</v>
      </c>
      <c r="J110" s="327"/>
    </row>
    <row r="111" spans="1:10" s="283" customFormat="1" ht="15.6" hidden="1" x14ac:dyDescent="0.3">
      <c r="A111" s="341" t="s">
        <v>259</v>
      </c>
      <c r="B111" s="342" t="e">
        <f>(B56*$B$132)*20</f>
        <v>#REF!</v>
      </c>
      <c r="C111" s="342" t="e">
        <f>(C56*$B$132)*20</f>
        <v>#REF!</v>
      </c>
      <c r="D111" s="342" t="e">
        <f t="shared" ref="D111:I111" si="43">(D56*$B$132)*20</f>
        <v>#REF!</v>
      </c>
      <c r="E111" s="342" t="e">
        <f t="shared" si="43"/>
        <v>#REF!</v>
      </c>
      <c r="F111" s="342">
        <f t="shared" si="43"/>
        <v>36996785.025197476</v>
      </c>
      <c r="G111" s="342">
        <f t="shared" si="43"/>
        <v>36996785.025197476</v>
      </c>
      <c r="H111" s="342">
        <f t="shared" si="43"/>
        <v>27030891.338722907</v>
      </c>
      <c r="I111" s="343">
        <f t="shared" si="43"/>
        <v>46266002.268039599</v>
      </c>
      <c r="J111" s="327"/>
    </row>
    <row r="112" spans="1:10" s="283" customFormat="1" ht="15.6" hidden="1" x14ac:dyDescent="0.3">
      <c r="A112" s="341" t="s">
        <v>187</v>
      </c>
      <c r="B112" s="342">
        <f t="shared" ref="B112:I112" si="44">(B$13*20)/3</f>
        <v>0</v>
      </c>
      <c r="C112" s="342">
        <f t="shared" si="44"/>
        <v>0</v>
      </c>
      <c r="D112" s="342">
        <f t="shared" si="44"/>
        <v>0</v>
      </c>
      <c r="E112" s="342">
        <f t="shared" si="44"/>
        <v>3893333.3333333335</v>
      </c>
      <c r="F112" s="342">
        <f t="shared" si="44"/>
        <v>0</v>
      </c>
      <c r="G112" s="342">
        <f t="shared" si="44"/>
        <v>3893333.3333333335</v>
      </c>
      <c r="H112" s="342">
        <f t="shared" si="44"/>
        <v>3893333.3333333335</v>
      </c>
      <c r="I112" s="343">
        <f t="shared" si="44"/>
        <v>3893333.3333333335</v>
      </c>
      <c r="J112" s="327"/>
    </row>
    <row r="113" spans="1:10" s="283" customFormat="1" ht="15.6" hidden="1" x14ac:dyDescent="0.3">
      <c r="A113" s="344" t="s">
        <v>5</v>
      </c>
      <c r="B113" s="345"/>
      <c r="C113" s="345"/>
      <c r="D113" s="345"/>
      <c r="E113" s="345"/>
      <c r="F113" s="345"/>
      <c r="G113" s="345"/>
      <c r="H113" s="345"/>
      <c r="I113" s="306"/>
      <c r="J113" s="327"/>
    </row>
    <row r="114" spans="1:10" s="283" customFormat="1" ht="15.6" hidden="1" x14ac:dyDescent="0.3">
      <c r="A114" s="346" t="s">
        <v>4</v>
      </c>
      <c r="B114" s="347" t="e">
        <f>SUM(B108:B113)</f>
        <v>#REF!</v>
      </c>
      <c r="C114" s="347" t="e">
        <f>SUM(C108:C113)</f>
        <v>#REF!</v>
      </c>
      <c r="D114" s="347" t="e">
        <f t="shared" ref="D114:I114" si="45">SUM(D108:D113)</f>
        <v>#REF!</v>
      </c>
      <c r="E114" s="347" t="e">
        <f t="shared" si="45"/>
        <v>#REF!</v>
      </c>
      <c r="F114" s="347" t="e">
        <f t="shared" si="45"/>
        <v>#REF!</v>
      </c>
      <c r="G114" s="347" t="e">
        <f t="shared" si="45"/>
        <v>#REF!</v>
      </c>
      <c r="H114" s="347" t="e">
        <f t="shared" si="45"/>
        <v>#REF!</v>
      </c>
      <c r="I114" s="314" t="e">
        <f t="shared" si="45"/>
        <v>#REF!</v>
      </c>
      <c r="J114" s="327"/>
    </row>
    <row r="115" spans="1:10" s="283" customFormat="1" ht="15.6" hidden="1" x14ac:dyDescent="0.3">
      <c r="A115" s="288"/>
      <c r="B115" s="328" t="e">
        <f>(B96+B105+B114)-(B23+B29+(B35*20))</f>
        <v>#REF!</v>
      </c>
      <c r="C115" s="328" t="e">
        <f t="shared" ref="C115:I115" si="46">(C96+C105+C114)-(C23+C29+(C35*20))</f>
        <v>#REF!</v>
      </c>
      <c r="D115" s="328" t="e">
        <f t="shared" si="46"/>
        <v>#REF!</v>
      </c>
      <c r="E115" s="328" t="e">
        <f t="shared" si="46"/>
        <v>#REF!</v>
      </c>
      <c r="F115" s="328" t="e">
        <f t="shared" si="46"/>
        <v>#REF!</v>
      </c>
      <c r="G115" s="328" t="e">
        <f t="shared" si="46"/>
        <v>#REF!</v>
      </c>
      <c r="H115" s="328" t="e">
        <f t="shared" si="46"/>
        <v>#REF!</v>
      </c>
      <c r="I115" s="328" t="e">
        <f t="shared" si="46"/>
        <v>#REF!</v>
      </c>
      <c r="J115" s="327"/>
    </row>
    <row r="116" spans="1:10" s="283" customFormat="1" ht="15.6" hidden="1" x14ac:dyDescent="0.3">
      <c r="A116" s="329" t="s">
        <v>232</v>
      </c>
      <c r="B116" s="288"/>
      <c r="C116" s="288"/>
      <c r="D116" s="288"/>
      <c r="E116" s="288"/>
      <c r="F116" s="288"/>
      <c r="G116" s="288"/>
      <c r="H116" s="288"/>
      <c r="I116" s="288"/>
      <c r="J116" s="327"/>
    </row>
    <row r="117" spans="1:10" s="283" customFormat="1" ht="15.6" hidden="1" x14ac:dyDescent="0.3">
      <c r="A117" s="330" t="s">
        <v>233</v>
      </c>
      <c r="B117" s="331">
        <v>70</v>
      </c>
      <c r="C117" s="331">
        <v>70</v>
      </c>
      <c r="D117" s="331">
        <v>70</v>
      </c>
      <c r="E117" s="331">
        <v>70</v>
      </c>
      <c r="F117" s="331">
        <v>70</v>
      </c>
      <c r="G117" s="331">
        <v>70</v>
      </c>
      <c r="H117" s="331">
        <v>70</v>
      </c>
      <c r="I117" s="331">
        <v>70</v>
      </c>
      <c r="J117" s="327"/>
    </row>
    <row r="118" spans="1:10" s="283" customFormat="1" ht="15.6" hidden="1" x14ac:dyDescent="0.3">
      <c r="A118" s="332" t="s">
        <v>234</v>
      </c>
      <c r="B118" s="331" t="e">
        <f>B$65-B117</f>
        <v>#REF!</v>
      </c>
      <c r="C118" s="331" t="e">
        <f>C$65-C117</f>
        <v>#REF!</v>
      </c>
      <c r="D118" s="331" t="e">
        <f t="shared" ref="D118:I118" si="47">D$65-D117</f>
        <v>#REF!</v>
      </c>
      <c r="E118" s="331" t="e">
        <f t="shared" si="47"/>
        <v>#REF!</v>
      </c>
      <c r="F118" s="331" t="e">
        <f t="shared" si="47"/>
        <v>#REF!</v>
      </c>
      <c r="G118" s="331" t="e">
        <f t="shared" si="47"/>
        <v>#REF!</v>
      </c>
      <c r="H118" s="331" t="e">
        <f t="shared" si="47"/>
        <v>#REF!</v>
      </c>
      <c r="I118" s="331" t="e">
        <f t="shared" si="47"/>
        <v>#REF!</v>
      </c>
      <c r="J118" s="327"/>
    </row>
    <row r="119" spans="1:10" s="283" customFormat="1" ht="15.6" hidden="1" x14ac:dyDescent="0.3">
      <c r="A119" s="333" t="s">
        <v>235</v>
      </c>
      <c r="B119" s="334">
        <f>(732+637+570)/3</f>
        <v>646.33333333333337</v>
      </c>
      <c r="C119" s="334">
        <f>(732+637+570)/3</f>
        <v>646.33333333333337</v>
      </c>
      <c r="D119" s="334">
        <f t="shared" ref="D119:I119" si="48">(732+637+570)/3</f>
        <v>646.33333333333337</v>
      </c>
      <c r="E119" s="334">
        <f t="shared" si="48"/>
        <v>646.33333333333337</v>
      </c>
      <c r="F119" s="334">
        <f t="shared" si="48"/>
        <v>646.33333333333337</v>
      </c>
      <c r="G119" s="334">
        <f t="shared" si="48"/>
        <v>646.33333333333337</v>
      </c>
      <c r="H119" s="334">
        <f t="shared" si="48"/>
        <v>646.33333333333337</v>
      </c>
      <c r="I119" s="334">
        <f t="shared" si="48"/>
        <v>646.33333333333337</v>
      </c>
      <c r="J119" s="327"/>
    </row>
    <row r="120" spans="1:10" s="283" customFormat="1" ht="15.6" hidden="1" x14ac:dyDescent="0.3">
      <c r="A120" s="335" t="s">
        <v>234</v>
      </c>
      <c r="B120" s="334" t="e">
        <f>B$65-B119</f>
        <v>#REF!</v>
      </c>
      <c r="C120" s="334" t="e">
        <f>C$65-C119</f>
        <v>#REF!</v>
      </c>
      <c r="D120" s="334" t="e">
        <f t="shared" ref="D120:I120" si="49">D$65-D119</f>
        <v>#REF!</v>
      </c>
      <c r="E120" s="334" t="e">
        <f t="shared" si="49"/>
        <v>#REF!</v>
      </c>
      <c r="F120" s="334" t="e">
        <f t="shared" si="49"/>
        <v>#REF!</v>
      </c>
      <c r="G120" s="334" t="e">
        <f t="shared" si="49"/>
        <v>#REF!</v>
      </c>
      <c r="H120" s="334" t="e">
        <f t="shared" si="49"/>
        <v>#REF!</v>
      </c>
      <c r="I120" s="334" t="e">
        <f t="shared" si="49"/>
        <v>#REF!</v>
      </c>
      <c r="J120" s="327"/>
    </row>
    <row r="121" spans="1:10" s="283" customFormat="1" ht="15.6" hidden="1" x14ac:dyDescent="0.3">
      <c r="A121" s="330" t="s">
        <v>236</v>
      </c>
      <c r="B121" s="331">
        <v>756</v>
      </c>
      <c r="C121" s="331">
        <v>756</v>
      </c>
      <c r="D121" s="331">
        <v>756</v>
      </c>
      <c r="E121" s="331">
        <v>756</v>
      </c>
      <c r="F121" s="331">
        <v>756</v>
      </c>
      <c r="G121" s="331">
        <v>756</v>
      </c>
      <c r="H121" s="331">
        <v>756</v>
      </c>
      <c r="I121" s="331">
        <v>756</v>
      </c>
      <c r="J121" s="327"/>
    </row>
    <row r="122" spans="1:10" s="283" customFormat="1" ht="15.6" hidden="1" x14ac:dyDescent="0.3">
      <c r="A122" s="332" t="s">
        <v>234</v>
      </c>
      <c r="B122" s="331" t="e">
        <f>B$65-B121</f>
        <v>#REF!</v>
      </c>
      <c r="C122" s="331" t="e">
        <f>C$65-C121</f>
        <v>#REF!</v>
      </c>
      <c r="D122" s="331" t="e">
        <f t="shared" ref="D122:I122" si="50">D$65-D121</f>
        <v>#REF!</v>
      </c>
      <c r="E122" s="331" t="e">
        <f t="shared" si="50"/>
        <v>#REF!</v>
      </c>
      <c r="F122" s="331" t="e">
        <f t="shared" si="50"/>
        <v>#REF!</v>
      </c>
      <c r="G122" s="331" t="e">
        <f t="shared" si="50"/>
        <v>#REF!</v>
      </c>
      <c r="H122" s="331" t="e">
        <f t="shared" si="50"/>
        <v>#REF!</v>
      </c>
      <c r="I122" s="331" t="e">
        <f t="shared" si="50"/>
        <v>#REF!</v>
      </c>
      <c r="J122" s="327"/>
    </row>
    <row r="123" spans="1:10" ht="15.6" hidden="1" x14ac:dyDescent="0.3">
      <c r="A123" s="288" t="s">
        <v>245</v>
      </c>
      <c r="B123" s="326"/>
      <c r="C123" s="326"/>
      <c r="D123" s="326"/>
      <c r="E123" s="326"/>
      <c r="F123" s="326"/>
      <c r="G123" s="326"/>
      <c r="H123" s="326"/>
      <c r="I123" s="326"/>
    </row>
    <row r="124" spans="1:10" ht="15.6" hidden="1" x14ac:dyDescent="0.3">
      <c r="A124" s="287" t="s">
        <v>179</v>
      </c>
    </row>
    <row r="125" spans="1:10" ht="15.6" hidden="1" x14ac:dyDescent="0.3">
      <c r="A125" s="287" t="s">
        <v>180</v>
      </c>
    </row>
    <row r="126" spans="1:10" ht="15.6" hidden="1" x14ac:dyDescent="0.3">
      <c r="A126" s="287"/>
    </row>
    <row r="127" spans="1:10" ht="15.6" x14ac:dyDescent="0.3">
      <c r="A127" s="417" t="s">
        <v>192</v>
      </c>
      <c r="B127" s="418"/>
      <c r="C127" s="418"/>
      <c r="D127" s="418"/>
      <c r="E127" s="418"/>
      <c r="F127" s="418"/>
      <c r="G127" s="419"/>
    </row>
    <row r="128" spans="1:10" ht="15.6" x14ac:dyDescent="0.3">
      <c r="A128" s="287"/>
    </row>
    <row r="129" spans="1:7" ht="15.6" x14ac:dyDescent="0.3">
      <c r="A129" s="289" t="s">
        <v>181</v>
      </c>
      <c r="B129" s="352" t="s">
        <v>184</v>
      </c>
      <c r="C129" s="302" t="s">
        <v>185</v>
      </c>
      <c r="E129" s="415" t="s">
        <v>188</v>
      </c>
      <c r="F129" s="416"/>
    </row>
    <row r="130" spans="1:7" ht="15.6" x14ac:dyDescent="0.3">
      <c r="A130" s="290" t="s">
        <v>189</v>
      </c>
      <c r="B130" s="389">
        <v>349</v>
      </c>
      <c r="C130" s="295">
        <f>B130/B$134</f>
        <v>5.8823529411764705E-2</v>
      </c>
      <c r="E130" s="304" t="s">
        <v>189</v>
      </c>
      <c r="F130" s="391">
        <v>10000</v>
      </c>
    </row>
    <row r="131" spans="1:7" ht="15.6" x14ac:dyDescent="0.3">
      <c r="A131" s="291" t="s">
        <v>190</v>
      </c>
      <c r="B131" s="390">
        <v>372</v>
      </c>
      <c r="C131" s="296">
        <f t="shared" ref="C131:C133" si="51">B131/B$134</f>
        <v>6.2700151693915393E-2</v>
      </c>
      <c r="E131" s="298" t="s">
        <v>190</v>
      </c>
      <c r="F131" s="392">
        <v>8000</v>
      </c>
    </row>
    <row r="132" spans="1:7" ht="15.6" x14ac:dyDescent="0.3">
      <c r="A132" s="291" t="s">
        <v>182</v>
      </c>
      <c r="B132" s="390">
        <v>5212</v>
      </c>
      <c r="C132" s="296">
        <f t="shared" si="51"/>
        <v>0.87847631889431987</v>
      </c>
      <c r="E132" s="288"/>
      <c r="F132" s="307"/>
    </row>
    <row r="133" spans="1:7" ht="15.6" hidden="1" x14ac:dyDescent="0.3">
      <c r="A133" s="298" t="s">
        <v>183</v>
      </c>
      <c r="B133" s="294"/>
      <c r="C133" s="297">
        <f t="shared" si="51"/>
        <v>0</v>
      </c>
    </row>
    <row r="134" spans="1:7" ht="15.6" x14ac:dyDescent="0.3">
      <c r="A134" s="268" t="s">
        <v>4</v>
      </c>
      <c r="B134" s="299">
        <f>SUM(B130:B133)</f>
        <v>5933</v>
      </c>
      <c r="C134" s="300">
        <f>SUM(C130:C133)</f>
        <v>1</v>
      </c>
      <c r="E134" s="337" t="s">
        <v>191</v>
      </c>
      <c r="F134" s="309">
        <v>20</v>
      </c>
    </row>
    <row r="135" spans="1:7" ht="15.6" x14ac:dyDescent="0.3">
      <c r="A135" s="349"/>
      <c r="B135" s="350"/>
      <c r="C135" s="351"/>
    </row>
    <row r="136" spans="1:7" ht="15.6" hidden="1" x14ac:dyDescent="0.3">
      <c r="E136" s="336" t="s">
        <v>186</v>
      </c>
      <c r="F136" s="303">
        <v>0.28000000000000003</v>
      </c>
    </row>
    <row r="137" spans="1:7" ht="15.6" x14ac:dyDescent="0.3">
      <c r="A137" s="413" t="s">
        <v>187</v>
      </c>
      <c r="B137" s="414"/>
    </row>
    <row r="138" spans="1:7" ht="15.6" x14ac:dyDescent="0.3">
      <c r="A138" s="304" t="s">
        <v>193</v>
      </c>
      <c r="B138" s="396">
        <v>0.1</v>
      </c>
      <c r="E138" s="415" t="s">
        <v>221</v>
      </c>
      <c r="F138" s="416"/>
    </row>
    <row r="139" spans="1:7" ht="15.6" x14ac:dyDescent="0.3">
      <c r="A139" s="311" t="s">
        <v>194</v>
      </c>
      <c r="B139" s="397">
        <v>16000</v>
      </c>
      <c r="E139" s="304" t="s">
        <v>133</v>
      </c>
      <c r="F139" s="393">
        <v>0.05</v>
      </c>
    </row>
    <row r="140" spans="1:7" ht="15.6" x14ac:dyDescent="0.3">
      <c r="A140" s="298" t="s">
        <v>195</v>
      </c>
      <c r="B140" s="398">
        <v>365</v>
      </c>
      <c r="E140" s="311" t="s">
        <v>222</v>
      </c>
      <c r="F140" s="394">
        <v>0</v>
      </c>
    </row>
    <row r="141" spans="1:7" ht="15.6" x14ac:dyDescent="0.3">
      <c r="A141" s="268" t="s">
        <v>196</v>
      </c>
      <c r="B141" s="314">
        <f>B138*B139*B140</f>
        <v>584000</v>
      </c>
      <c r="E141" s="298" t="s">
        <v>224</v>
      </c>
      <c r="F141" s="395">
        <v>1</v>
      </c>
    </row>
    <row r="143" spans="1:7" ht="15.6" x14ac:dyDescent="0.3">
      <c r="A143" s="413" t="s">
        <v>263</v>
      </c>
      <c r="B143" s="414"/>
      <c r="E143" s="325" t="s">
        <v>223</v>
      </c>
      <c r="F143" s="325"/>
      <c r="G143" s="324"/>
    </row>
    <row r="144" spans="1:7" ht="15.6" x14ac:dyDescent="0.3">
      <c r="A144" s="304" t="s">
        <v>264</v>
      </c>
      <c r="B144" s="391">
        <v>500000</v>
      </c>
      <c r="E144" s="325" t="s">
        <v>225</v>
      </c>
      <c r="F144" s="325"/>
      <c r="G144" s="325"/>
    </row>
    <row r="145" spans="1:9" ht="15.6" x14ac:dyDescent="0.3">
      <c r="A145" s="298" t="s">
        <v>265</v>
      </c>
      <c r="B145" s="392">
        <v>225000</v>
      </c>
      <c r="E145" s="325" t="s">
        <v>226</v>
      </c>
      <c r="F145" s="325"/>
      <c r="G145" s="325"/>
    </row>
    <row r="146" spans="1:9" ht="15.6" x14ac:dyDescent="0.3">
      <c r="E146" s="325" t="s">
        <v>227</v>
      </c>
      <c r="F146" s="325"/>
      <c r="G146" s="325"/>
    </row>
    <row r="147" spans="1:9" ht="15.6" x14ac:dyDescent="0.3">
      <c r="E147" s="325" t="s">
        <v>228</v>
      </c>
      <c r="F147" s="324"/>
      <c r="G147" s="324"/>
    </row>
    <row r="150" spans="1:9" s="288" customFormat="1" ht="15.6" hidden="1" x14ac:dyDescent="0.3">
      <c r="A150" s="354" t="s">
        <v>266</v>
      </c>
      <c r="B150" s="298"/>
    </row>
    <row r="151" spans="1:9" s="288" customFormat="1" ht="15.6" hidden="1" x14ac:dyDescent="0.3">
      <c r="A151" s="355" t="s">
        <v>267</v>
      </c>
      <c r="B151" s="356"/>
      <c r="C151" s="356"/>
      <c r="D151" s="356"/>
      <c r="E151" s="356"/>
      <c r="F151" s="356"/>
      <c r="G151" s="356"/>
      <c r="H151" s="356"/>
      <c r="I151" s="356"/>
    </row>
    <row r="152" spans="1:9" s="288" customFormat="1" ht="15.6" hidden="1" x14ac:dyDescent="0.3">
      <c r="A152" s="357" t="s">
        <v>268</v>
      </c>
      <c r="B152" s="358" t="e">
        <f t="shared" ref="B152:I153" si="52">B48*20*$B130</f>
        <v>#REF!</v>
      </c>
      <c r="C152" s="358" t="e">
        <f t="shared" si="52"/>
        <v>#REF!</v>
      </c>
      <c r="D152" s="358" t="e">
        <f t="shared" si="52"/>
        <v>#REF!</v>
      </c>
      <c r="E152" s="358" t="e">
        <f t="shared" si="52"/>
        <v>#REF!</v>
      </c>
      <c r="F152" s="358" t="e">
        <f t="shared" si="52"/>
        <v>#REF!</v>
      </c>
      <c r="G152" s="358" t="e">
        <f t="shared" si="52"/>
        <v>#REF!</v>
      </c>
      <c r="H152" s="358" t="e">
        <f t="shared" si="52"/>
        <v>#REF!</v>
      </c>
      <c r="I152" s="358" t="e">
        <f t="shared" si="52"/>
        <v>#REF!</v>
      </c>
    </row>
    <row r="153" spans="1:9" s="288" customFormat="1" ht="15.6" hidden="1" x14ac:dyDescent="0.3">
      <c r="A153" s="357" t="s">
        <v>269</v>
      </c>
      <c r="B153" s="358" t="e">
        <f t="shared" si="52"/>
        <v>#REF!</v>
      </c>
      <c r="C153" s="358" t="e">
        <f t="shared" si="52"/>
        <v>#REF!</v>
      </c>
      <c r="D153" s="358" t="e">
        <f t="shared" si="52"/>
        <v>#REF!</v>
      </c>
      <c r="E153" s="358" t="e">
        <f t="shared" si="52"/>
        <v>#REF!</v>
      </c>
      <c r="F153" s="358" t="e">
        <f t="shared" si="52"/>
        <v>#REF!</v>
      </c>
      <c r="G153" s="358" t="e">
        <f t="shared" si="52"/>
        <v>#REF!</v>
      </c>
      <c r="H153" s="358" t="e">
        <f t="shared" si="52"/>
        <v>#REF!</v>
      </c>
      <c r="I153" s="358" t="e">
        <f t="shared" si="52"/>
        <v>#REF!</v>
      </c>
    </row>
    <row r="154" spans="1:9" s="288" customFormat="1" ht="15.6" hidden="1" x14ac:dyDescent="0.3">
      <c r="A154" s="357" t="s">
        <v>270</v>
      </c>
      <c r="B154" s="358" t="e">
        <f>IF(B153=0,B50*20*($B131+$B132),B50*20*$B132)</f>
        <v>#REF!</v>
      </c>
      <c r="C154" s="358" t="e">
        <f>IF(C153=0,C50*20*($B131+$B132),C50*20*$B132)</f>
        <v>#REF!</v>
      </c>
      <c r="D154" s="358" t="e">
        <f t="shared" ref="D154:I154" si="53">IF(D153=0,D50*20*($B131+$B132),D50*20*$B132)</f>
        <v>#REF!</v>
      </c>
      <c r="E154" s="358" t="e">
        <f t="shared" si="53"/>
        <v>#REF!</v>
      </c>
      <c r="F154" s="358" t="e">
        <f t="shared" si="53"/>
        <v>#REF!</v>
      </c>
      <c r="G154" s="358" t="e">
        <f t="shared" si="53"/>
        <v>#REF!</v>
      </c>
      <c r="H154" s="358" t="e">
        <f t="shared" si="53"/>
        <v>#REF!</v>
      </c>
      <c r="I154" s="358" t="e">
        <f t="shared" si="53"/>
        <v>#REF!</v>
      </c>
    </row>
    <row r="155" spans="1:9" s="288" customFormat="1" ht="15.6" hidden="1" x14ac:dyDescent="0.3">
      <c r="A155" s="359" t="s">
        <v>6</v>
      </c>
      <c r="B155" s="360" t="e">
        <f t="shared" ref="B155:I155" si="54">SUM(B152:B154)</f>
        <v>#REF!</v>
      </c>
      <c r="C155" s="360" t="e">
        <f t="shared" si="54"/>
        <v>#REF!</v>
      </c>
      <c r="D155" s="360" t="e">
        <f t="shared" si="54"/>
        <v>#REF!</v>
      </c>
      <c r="E155" s="360" t="e">
        <f t="shared" si="54"/>
        <v>#REF!</v>
      </c>
      <c r="F155" s="360" t="e">
        <f t="shared" si="54"/>
        <v>#REF!</v>
      </c>
      <c r="G155" s="360" t="e">
        <f t="shared" si="54"/>
        <v>#REF!</v>
      </c>
      <c r="H155" s="360" t="e">
        <f t="shared" si="54"/>
        <v>#REF!</v>
      </c>
      <c r="I155" s="360" t="e">
        <f t="shared" si="54"/>
        <v>#REF!</v>
      </c>
    </row>
    <row r="156" spans="1:9" s="288" customFormat="1" ht="15.6" hidden="1" x14ac:dyDescent="0.3">
      <c r="A156" s="357" t="s">
        <v>187</v>
      </c>
      <c r="B156" s="358">
        <f>B13*20</f>
        <v>0</v>
      </c>
      <c r="C156" s="358">
        <f t="shared" ref="C156:I156" si="55">C13*20</f>
        <v>0</v>
      </c>
      <c r="D156" s="358">
        <f t="shared" si="55"/>
        <v>0</v>
      </c>
      <c r="E156" s="358">
        <f t="shared" si="55"/>
        <v>11680000</v>
      </c>
      <c r="F156" s="358">
        <f t="shared" si="55"/>
        <v>0</v>
      </c>
      <c r="G156" s="358">
        <f t="shared" si="55"/>
        <v>11680000</v>
      </c>
      <c r="H156" s="358">
        <f t="shared" si="55"/>
        <v>11680000</v>
      </c>
      <c r="I156" s="358">
        <f t="shared" si="55"/>
        <v>11680000</v>
      </c>
    </row>
    <row r="157" spans="1:9" s="288" customFormat="1" ht="15.6" hidden="1" x14ac:dyDescent="0.3">
      <c r="A157" s="359" t="s">
        <v>271</v>
      </c>
      <c r="B157" s="360" t="e">
        <f>SUM(B155:B156)</f>
        <v>#REF!</v>
      </c>
      <c r="C157" s="360" t="e">
        <f t="shared" ref="C157:I157" si="56">SUM(C155:C156)</f>
        <v>#REF!</v>
      </c>
      <c r="D157" s="360" t="e">
        <f t="shared" si="56"/>
        <v>#REF!</v>
      </c>
      <c r="E157" s="360" t="e">
        <f t="shared" si="56"/>
        <v>#REF!</v>
      </c>
      <c r="F157" s="360" t="e">
        <f t="shared" si="56"/>
        <v>#REF!</v>
      </c>
      <c r="G157" s="360" t="e">
        <f t="shared" si="56"/>
        <v>#REF!</v>
      </c>
      <c r="H157" s="360" t="e">
        <f t="shared" si="56"/>
        <v>#REF!</v>
      </c>
      <c r="I157" s="360" t="e">
        <f t="shared" si="56"/>
        <v>#REF!</v>
      </c>
    </row>
    <row r="158" spans="1:9" s="288" customFormat="1" ht="15.6" hidden="1" x14ac:dyDescent="0.3">
      <c r="A158" s="357"/>
      <c r="B158" s="358"/>
      <c r="C158" s="358"/>
      <c r="D158" s="358"/>
      <c r="E158" s="358"/>
      <c r="F158" s="358"/>
      <c r="G158" s="358"/>
      <c r="H158" s="358"/>
      <c r="I158" s="358"/>
    </row>
    <row r="159" spans="1:9" s="288" customFormat="1" ht="15.6" hidden="1" x14ac:dyDescent="0.3">
      <c r="A159" s="357" t="s">
        <v>272</v>
      </c>
      <c r="B159" s="358">
        <f t="shared" ref="B159:I159" si="57">B35*20</f>
        <v>195758000</v>
      </c>
      <c r="C159" s="358">
        <f t="shared" si="57"/>
        <v>195758000</v>
      </c>
      <c r="D159" s="358">
        <f t="shared" si="57"/>
        <v>195758000</v>
      </c>
      <c r="E159" s="358">
        <f t="shared" si="57"/>
        <v>195758000</v>
      </c>
      <c r="F159" s="358">
        <f t="shared" si="57"/>
        <v>195758000</v>
      </c>
      <c r="G159" s="358">
        <f t="shared" si="57"/>
        <v>195758000</v>
      </c>
      <c r="H159" s="358">
        <f t="shared" si="57"/>
        <v>195758000</v>
      </c>
      <c r="I159" s="358">
        <f t="shared" si="57"/>
        <v>195758000</v>
      </c>
    </row>
    <row r="160" spans="1:9" s="288" customFormat="1" ht="15.6" hidden="1" x14ac:dyDescent="0.3">
      <c r="A160" s="361" t="s">
        <v>273</v>
      </c>
      <c r="B160" s="362" t="e">
        <f>B157-B159</f>
        <v>#REF!</v>
      </c>
      <c r="C160" s="362" t="e">
        <f t="shared" ref="C160:I160" si="58">C157-C159</f>
        <v>#REF!</v>
      </c>
      <c r="D160" s="362" t="e">
        <f t="shared" si="58"/>
        <v>#REF!</v>
      </c>
      <c r="E160" s="362" t="e">
        <f t="shared" si="58"/>
        <v>#REF!</v>
      </c>
      <c r="F160" s="362" t="e">
        <f t="shared" si="58"/>
        <v>#REF!</v>
      </c>
      <c r="G160" s="362" t="e">
        <f t="shared" si="58"/>
        <v>#REF!</v>
      </c>
      <c r="H160" s="362" t="e">
        <f t="shared" si="58"/>
        <v>#REF!</v>
      </c>
      <c r="I160" s="362" t="e">
        <f t="shared" si="58"/>
        <v>#REF!</v>
      </c>
    </row>
    <row r="161" spans="1:9" s="288" customFormat="1" ht="15.6" hidden="1" x14ac:dyDescent="0.3">
      <c r="B161" s="348"/>
      <c r="C161" s="348"/>
      <c r="D161" s="348"/>
      <c r="E161" s="348"/>
      <c r="F161" s="348"/>
      <c r="G161" s="348"/>
      <c r="H161" s="348"/>
      <c r="I161" s="348"/>
    </row>
    <row r="162" spans="1:9" s="288" customFormat="1" ht="15.6" hidden="1" x14ac:dyDescent="0.3">
      <c r="A162" s="354" t="s">
        <v>274</v>
      </c>
      <c r="B162" s="363"/>
      <c r="C162" s="363"/>
      <c r="D162" s="363"/>
      <c r="E162" s="363"/>
      <c r="F162" s="363"/>
      <c r="G162" s="363"/>
      <c r="H162" s="363"/>
      <c r="I162" s="363"/>
    </row>
    <row r="163" spans="1:9" s="288" customFormat="1" ht="15.6" hidden="1" x14ac:dyDescent="0.3">
      <c r="A163" s="355" t="s">
        <v>275</v>
      </c>
      <c r="B163" s="364"/>
      <c r="C163" s="364"/>
      <c r="D163" s="364"/>
      <c r="E163" s="364"/>
      <c r="F163" s="364"/>
      <c r="G163" s="364"/>
      <c r="H163" s="364"/>
      <c r="I163" s="364"/>
    </row>
    <row r="164" spans="1:9" s="288" customFormat="1" ht="15.6" hidden="1" x14ac:dyDescent="0.3">
      <c r="A164" s="357" t="s">
        <v>268</v>
      </c>
      <c r="B164" s="365">
        <f t="shared" ref="B164:I165" si="59">B43*$B130</f>
        <v>0</v>
      </c>
      <c r="C164" s="365">
        <f t="shared" si="59"/>
        <v>0</v>
      </c>
      <c r="D164" s="365">
        <f t="shared" si="59"/>
        <v>0</v>
      </c>
      <c r="E164" s="365">
        <f t="shared" si="59"/>
        <v>0</v>
      </c>
      <c r="F164" s="365">
        <f t="shared" si="59"/>
        <v>0</v>
      </c>
      <c r="G164" s="365">
        <f t="shared" si="59"/>
        <v>0</v>
      </c>
      <c r="H164" s="365">
        <f t="shared" si="59"/>
        <v>0</v>
      </c>
      <c r="I164" s="365">
        <f t="shared" si="59"/>
        <v>0</v>
      </c>
    </row>
    <row r="165" spans="1:9" s="288" customFormat="1" ht="15.6" hidden="1" x14ac:dyDescent="0.3">
      <c r="A165" s="357" t="s">
        <v>269</v>
      </c>
      <c r="B165" s="365">
        <f t="shared" si="59"/>
        <v>0</v>
      </c>
      <c r="C165" s="365">
        <f t="shared" si="59"/>
        <v>0</v>
      </c>
      <c r="D165" s="365">
        <f t="shared" si="59"/>
        <v>0</v>
      </c>
      <c r="E165" s="365">
        <f t="shared" si="59"/>
        <v>0</v>
      </c>
      <c r="F165" s="365">
        <f t="shared" si="59"/>
        <v>0</v>
      </c>
      <c r="G165" s="365">
        <f t="shared" si="59"/>
        <v>0</v>
      </c>
      <c r="H165" s="365">
        <f t="shared" si="59"/>
        <v>0</v>
      </c>
      <c r="I165" s="365">
        <f t="shared" si="59"/>
        <v>0</v>
      </c>
    </row>
    <row r="166" spans="1:9" s="288" customFormat="1" ht="15.6" hidden="1" x14ac:dyDescent="0.3">
      <c r="A166" s="357"/>
      <c r="B166" s="365"/>
      <c r="C166" s="365"/>
      <c r="D166" s="365"/>
      <c r="E166" s="365"/>
      <c r="F166" s="365"/>
      <c r="G166" s="365"/>
      <c r="H166" s="365"/>
      <c r="I166" s="365"/>
    </row>
    <row r="167" spans="1:9" s="288" customFormat="1" ht="15.6" hidden="1" x14ac:dyDescent="0.3">
      <c r="A167" s="359" t="s">
        <v>276</v>
      </c>
      <c r="B167" s="358"/>
      <c r="C167" s="358"/>
      <c r="D167" s="358"/>
      <c r="E167" s="358"/>
      <c r="F167" s="358"/>
      <c r="G167" s="358"/>
      <c r="H167" s="358"/>
      <c r="I167" s="358"/>
    </row>
    <row r="168" spans="1:9" s="288" customFormat="1" ht="15.6" hidden="1" x14ac:dyDescent="0.3">
      <c r="A168" s="357" t="s">
        <v>268</v>
      </c>
      <c r="B168" s="358" t="e">
        <f>B38*$B130</f>
        <v>#REF!</v>
      </c>
      <c r="C168" s="358" t="e">
        <f t="shared" ref="C168:I168" si="60">C38*$B130</f>
        <v>#REF!</v>
      </c>
      <c r="D168" s="358" t="e">
        <f t="shared" si="60"/>
        <v>#REF!</v>
      </c>
      <c r="E168" s="358" t="e">
        <f t="shared" si="60"/>
        <v>#REF!</v>
      </c>
      <c r="F168" s="358" t="e">
        <f t="shared" si="60"/>
        <v>#REF!</v>
      </c>
      <c r="G168" s="358" t="e">
        <f t="shared" si="60"/>
        <v>#REF!</v>
      </c>
      <c r="H168" s="358" t="e">
        <f t="shared" si="60"/>
        <v>#REF!</v>
      </c>
      <c r="I168" s="358" t="e">
        <f t="shared" si="60"/>
        <v>#REF!</v>
      </c>
    </row>
    <row r="169" spans="1:9" s="288" customFormat="1" ht="15.6" hidden="1" x14ac:dyDescent="0.3">
      <c r="A169" s="357" t="s">
        <v>269</v>
      </c>
      <c r="B169" s="358" t="e">
        <f>B39*$B131</f>
        <v>#REF!</v>
      </c>
      <c r="C169" s="358" t="e">
        <f t="shared" ref="C169:I169" si="61">C39*$B131</f>
        <v>#REF!</v>
      </c>
      <c r="D169" s="358" t="e">
        <f t="shared" si="61"/>
        <v>#REF!</v>
      </c>
      <c r="E169" s="358" t="e">
        <f t="shared" si="61"/>
        <v>#REF!</v>
      </c>
      <c r="F169" s="358" t="e">
        <f t="shared" si="61"/>
        <v>#REF!</v>
      </c>
      <c r="G169" s="358" t="e">
        <f t="shared" si="61"/>
        <v>#REF!</v>
      </c>
      <c r="H169" s="358" t="e">
        <f t="shared" si="61"/>
        <v>#REF!</v>
      </c>
      <c r="I169" s="358" t="e">
        <f t="shared" si="61"/>
        <v>#REF!</v>
      </c>
    </row>
    <row r="170" spans="1:9" s="288" customFormat="1" ht="15.6" hidden="1" x14ac:dyDescent="0.3">
      <c r="A170" s="357" t="s">
        <v>270</v>
      </c>
      <c r="B170" s="358" t="e">
        <f>IF(B169=0,B40*($B131+$B132),B40*$B132)</f>
        <v>#REF!</v>
      </c>
      <c r="C170" s="358" t="e">
        <f>IF(C169=0,C40*($B131+$B132),C40*$B132)</f>
        <v>#REF!</v>
      </c>
      <c r="D170" s="358" t="e">
        <f t="shared" ref="D170:I170" si="62">IF(D169=0,D40*($B131+$B132),D40*$B132)</f>
        <v>#REF!</v>
      </c>
      <c r="E170" s="358" t="e">
        <f t="shared" si="62"/>
        <v>#REF!</v>
      </c>
      <c r="F170" s="358" t="e">
        <f t="shared" si="62"/>
        <v>#REF!</v>
      </c>
      <c r="G170" s="358" t="e">
        <f t="shared" si="62"/>
        <v>#REF!</v>
      </c>
      <c r="H170" s="358" t="e">
        <f t="shared" si="62"/>
        <v>#REF!</v>
      </c>
      <c r="I170" s="358" t="e">
        <f t="shared" si="62"/>
        <v>#REF!</v>
      </c>
    </row>
    <row r="171" spans="1:9" s="288" customFormat="1" ht="15.6" hidden="1" x14ac:dyDescent="0.3">
      <c r="A171" s="359" t="s">
        <v>6</v>
      </c>
      <c r="B171" s="360" t="e">
        <f t="shared" ref="B171:I171" si="63">SUM(B168:B170)</f>
        <v>#REF!</v>
      </c>
      <c r="C171" s="360" t="e">
        <f t="shared" si="63"/>
        <v>#REF!</v>
      </c>
      <c r="D171" s="360" t="e">
        <f t="shared" si="63"/>
        <v>#REF!</v>
      </c>
      <c r="E171" s="360" t="e">
        <f t="shared" si="63"/>
        <v>#REF!</v>
      </c>
      <c r="F171" s="360" t="e">
        <f t="shared" si="63"/>
        <v>#REF!</v>
      </c>
      <c r="G171" s="360" t="e">
        <f t="shared" si="63"/>
        <v>#REF!</v>
      </c>
      <c r="H171" s="360" t="e">
        <f t="shared" si="63"/>
        <v>#REF!</v>
      </c>
      <c r="I171" s="360" t="e">
        <f t="shared" si="63"/>
        <v>#REF!</v>
      </c>
    </row>
    <row r="172" spans="1:9" s="288" customFormat="1" ht="15.6" hidden="1" x14ac:dyDescent="0.3">
      <c r="A172" s="357"/>
      <c r="B172" s="358"/>
      <c r="C172" s="358"/>
      <c r="D172" s="358"/>
      <c r="E172" s="358"/>
      <c r="F172" s="358"/>
      <c r="G172" s="358"/>
      <c r="H172" s="358"/>
      <c r="I172" s="358"/>
    </row>
    <row r="173" spans="1:9" s="288" customFormat="1" ht="15.6" hidden="1" x14ac:dyDescent="0.3">
      <c r="A173" s="359" t="s">
        <v>277</v>
      </c>
      <c r="B173" s="358"/>
      <c r="C173" s="358"/>
      <c r="D173" s="358"/>
      <c r="E173" s="358"/>
      <c r="F173" s="358"/>
      <c r="G173" s="358"/>
      <c r="H173" s="358"/>
      <c r="I173" s="358"/>
    </row>
    <row r="174" spans="1:9" s="288" customFormat="1" ht="15.6" hidden="1" x14ac:dyDescent="0.3">
      <c r="A174" s="357" t="s">
        <v>268</v>
      </c>
      <c r="B174" s="358" t="e">
        <f t="shared" ref="B174:I175" si="64">B54*$B130*20</f>
        <v>#REF!</v>
      </c>
      <c r="C174" s="358" t="e">
        <f t="shared" si="64"/>
        <v>#REF!</v>
      </c>
      <c r="D174" s="358" t="e">
        <f t="shared" si="64"/>
        <v>#REF!</v>
      </c>
      <c r="E174" s="358" t="e">
        <f t="shared" si="64"/>
        <v>#REF!</v>
      </c>
      <c r="F174" s="358" t="e">
        <f t="shared" si="64"/>
        <v>#REF!</v>
      </c>
      <c r="G174" s="358" t="e">
        <f t="shared" si="64"/>
        <v>#REF!</v>
      </c>
      <c r="H174" s="358" t="e">
        <f t="shared" si="64"/>
        <v>#REF!</v>
      </c>
      <c r="I174" s="358" t="e">
        <f t="shared" si="64"/>
        <v>#REF!</v>
      </c>
    </row>
    <row r="175" spans="1:9" s="288" customFormat="1" ht="15.6" hidden="1" x14ac:dyDescent="0.3">
      <c r="A175" s="357" t="s">
        <v>269</v>
      </c>
      <c r="B175" s="358" t="e">
        <f t="shared" si="64"/>
        <v>#REF!</v>
      </c>
      <c r="C175" s="358" t="e">
        <f t="shared" si="64"/>
        <v>#REF!</v>
      </c>
      <c r="D175" s="358" t="e">
        <f t="shared" si="64"/>
        <v>#REF!</v>
      </c>
      <c r="E175" s="358" t="e">
        <f t="shared" si="64"/>
        <v>#REF!</v>
      </c>
      <c r="F175" s="358">
        <f t="shared" si="64"/>
        <v>2640599.3916679705</v>
      </c>
      <c r="G175" s="358">
        <f t="shared" si="64"/>
        <v>2640599.3916679705</v>
      </c>
      <c r="H175" s="358">
        <f t="shared" si="64"/>
        <v>1929296.1584813744</v>
      </c>
      <c r="I175" s="358">
        <f t="shared" si="64"/>
        <v>3302178.2125308388</v>
      </c>
    </row>
    <row r="176" spans="1:9" s="288" customFormat="1" ht="15.6" hidden="1" x14ac:dyDescent="0.3">
      <c r="A176" s="357" t="s">
        <v>270</v>
      </c>
      <c r="B176" s="358" t="e">
        <f>IF(B175=0,B56*($B131+$B132)*20,B56*$B132*20)</f>
        <v>#REF!</v>
      </c>
      <c r="C176" s="358" t="e">
        <f>IF(C175=0,C56*($B131+$B132)*20,C56*$B132*20)</f>
        <v>#REF!</v>
      </c>
      <c r="D176" s="358" t="e">
        <f>IF(D175=0,D56*($B131+$B132)*20,D56*$B132*20)</f>
        <v>#REF!</v>
      </c>
      <c r="E176" s="358" t="e">
        <f t="shared" ref="E176:I176" si="65">IF(E175=0,E56*($B131+$B132)*20,E56*$B132*20)</f>
        <v>#REF!</v>
      </c>
      <c r="F176" s="358">
        <f t="shared" si="65"/>
        <v>36996785.025197476</v>
      </c>
      <c r="G176" s="358">
        <f t="shared" si="65"/>
        <v>36996785.025197476</v>
      </c>
      <c r="H176" s="358">
        <f t="shared" si="65"/>
        <v>27030891.338722907</v>
      </c>
      <c r="I176" s="358">
        <f t="shared" si="65"/>
        <v>46266002.268039599</v>
      </c>
    </row>
    <row r="177" spans="1:9" s="288" customFormat="1" ht="15.6" hidden="1" x14ac:dyDescent="0.3">
      <c r="A177" s="366" t="s">
        <v>6</v>
      </c>
      <c r="B177" s="367" t="e">
        <f t="shared" ref="B177:I177" si="66">SUM(B174:B176)</f>
        <v>#REF!</v>
      </c>
      <c r="C177" s="367" t="e">
        <f t="shared" si="66"/>
        <v>#REF!</v>
      </c>
      <c r="D177" s="367" t="e">
        <f t="shared" si="66"/>
        <v>#REF!</v>
      </c>
      <c r="E177" s="367" t="e">
        <f t="shared" si="66"/>
        <v>#REF!</v>
      </c>
      <c r="F177" s="367" t="e">
        <f t="shared" si="66"/>
        <v>#REF!</v>
      </c>
      <c r="G177" s="367" t="e">
        <f t="shared" si="66"/>
        <v>#REF!</v>
      </c>
      <c r="H177" s="367" t="e">
        <f t="shared" si="66"/>
        <v>#REF!</v>
      </c>
      <c r="I177" s="367" t="e">
        <f t="shared" si="66"/>
        <v>#REF!</v>
      </c>
    </row>
    <row r="178" spans="1:9" s="288" customFormat="1" ht="15.6" hidden="1" x14ac:dyDescent="0.3">
      <c r="B178" s="348"/>
      <c r="C178" s="348"/>
      <c r="D178" s="348"/>
      <c r="E178" s="348"/>
      <c r="F178" s="348"/>
      <c r="G178" s="348"/>
      <c r="H178" s="348"/>
      <c r="I178" s="348"/>
    </row>
    <row r="179" spans="1:9" s="288" customFormat="1" ht="15.6" hidden="1" x14ac:dyDescent="0.3">
      <c r="A179" s="354" t="s">
        <v>278</v>
      </c>
      <c r="B179" s="363"/>
      <c r="C179" s="363"/>
      <c r="D179" s="363"/>
      <c r="E179" s="363"/>
      <c r="F179" s="363"/>
      <c r="G179" s="363"/>
      <c r="H179" s="363"/>
      <c r="I179" s="363"/>
    </row>
    <row r="180" spans="1:9" s="288" customFormat="1" ht="15.6" hidden="1" x14ac:dyDescent="0.3">
      <c r="A180" s="304" t="s">
        <v>279</v>
      </c>
      <c r="B180" s="368" t="e">
        <f t="shared" ref="B180:I180" si="67">B164+B165+B171+B177</f>
        <v>#REF!</v>
      </c>
      <c r="C180" s="364" t="e">
        <f t="shared" si="67"/>
        <v>#REF!</v>
      </c>
      <c r="D180" s="364" t="e">
        <f t="shared" si="67"/>
        <v>#REF!</v>
      </c>
      <c r="E180" s="364" t="e">
        <f t="shared" si="67"/>
        <v>#REF!</v>
      </c>
      <c r="F180" s="364" t="e">
        <f t="shared" si="67"/>
        <v>#REF!</v>
      </c>
      <c r="G180" s="364" t="e">
        <f t="shared" si="67"/>
        <v>#REF!</v>
      </c>
      <c r="H180" s="364" t="e">
        <f t="shared" si="67"/>
        <v>#REF!</v>
      </c>
      <c r="I180" s="364" t="e">
        <f t="shared" si="67"/>
        <v>#REF!</v>
      </c>
    </row>
    <row r="181" spans="1:9" s="288" customFormat="1" ht="15.6" hidden="1" x14ac:dyDescent="0.3">
      <c r="A181" s="311" t="s">
        <v>280</v>
      </c>
      <c r="B181" s="369">
        <f t="shared" ref="B181:I181" si="68">B23+B29</f>
        <v>106138054</v>
      </c>
      <c r="C181" s="358">
        <f t="shared" si="68"/>
        <v>106138054</v>
      </c>
      <c r="D181" s="358">
        <f t="shared" si="68"/>
        <v>106138054</v>
      </c>
      <c r="E181" s="358">
        <f t="shared" si="68"/>
        <v>106138054</v>
      </c>
      <c r="F181" s="358">
        <f t="shared" si="68"/>
        <v>106138054</v>
      </c>
      <c r="G181" s="358">
        <f t="shared" si="68"/>
        <v>89756829.549999997</v>
      </c>
      <c r="H181" s="358">
        <f t="shared" si="68"/>
        <v>89756829.549999997</v>
      </c>
      <c r="I181" s="358">
        <f t="shared" si="68"/>
        <v>67317622.162499994</v>
      </c>
    </row>
    <row r="182" spans="1:9" s="288" customFormat="1" ht="15.6" hidden="1" x14ac:dyDescent="0.3">
      <c r="A182" s="370" t="s">
        <v>273</v>
      </c>
      <c r="B182" s="371" t="e">
        <f t="shared" ref="B182:I182" si="69">B180-B181</f>
        <v>#REF!</v>
      </c>
      <c r="C182" s="362" t="e">
        <f t="shared" si="69"/>
        <v>#REF!</v>
      </c>
      <c r="D182" s="362" t="e">
        <f t="shared" si="69"/>
        <v>#REF!</v>
      </c>
      <c r="E182" s="362" t="e">
        <f t="shared" si="69"/>
        <v>#REF!</v>
      </c>
      <c r="F182" s="362" t="e">
        <f t="shared" si="69"/>
        <v>#REF!</v>
      </c>
      <c r="G182" s="362" t="e">
        <f t="shared" si="69"/>
        <v>#REF!</v>
      </c>
      <c r="H182" s="362" t="e">
        <f t="shared" si="69"/>
        <v>#REF!</v>
      </c>
      <c r="I182" s="362" t="e">
        <f t="shared" si="69"/>
        <v>#REF!</v>
      </c>
    </row>
    <row r="183" spans="1:9" s="288" customFormat="1" ht="15.6" hidden="1" x14ac:dyDescent="0.3">
      <c r="B183" s="348"/>
      <c r="C183" s="348"/>
      <c r="D183" s="348"/>
      <c r="E183" s="348"/>
      <c r="F183" s="348"/>
      <c r="G183" s="348"/>
      <c r="H183" s="348"/>
      <c r="I183" s="348"/>
    </row>
    <row r="184" spans="1:9" s="288" customFormat="1" ht="15.6" hidden="1" x14ac:dyDescent="0.3">
      <c r="A184" s="354" t="s">
        <v>281</v>
      </c>
      <c r="B184" s="363"/>
      <c r="C184" s="363"/>
      <c r="D184" s="363"/>
      <c r="E184" s="363"/>
      <c r="F184" s="363"/>
      <c r="G184" s="363"/>
      <c r="H184" s="363"/>
      <c r="I184" s="363"/>
    </row>
    <row r="185" spans="1:9" s="288" customFormat="1" ht="15.6" hidden="1" x14ac:dyDescent="0.3">
      <c r="A185" s="304" t="s">
        <v>282</v>
      </c>
      <c r="B185" s="368" t="e">
        <f t="shared" ref="B185:I185" si="70">B164+B168+B174</f>
        <v>#REF!</v>
      </c>
      <c r="C185" s="364" t="e">
        <f t="shared" si="70"/>
        <v>#REF!</v>
      </c>
      <c r="D185" s="364" t="e">
        <f t="shared" si="70"/>
        <v>#REF!</v>
      </c>
      <c r="E185" s="364" t="e">
        <f t="shared" si="70"/>
        <v>#REF!</v>
      </c>
      <c r="F185" s="364" t="e">
        <f t="shared" si="70"/>
        <v>#REF!</v>
      </c>
      <c r="G185" s="364" t="e">
        <f t="shared" si="70"/>
        <v>#REF!</v>
      </c>
      <c r="H185" s="364" t="e">
        <f t="shared" si="70"/>
        <v>#REF!</v>
      </c>
      <c r="I185" s="364" t="e">
        <f t="shared" si="70"/>
        <v>#REF!</v>
      </c>
    </row>
    <row r="186" spans="1:9" s="288" customFormat="1" ht="15.6" hidden="1" x14ac:dyDescent="0.3">
      <c r="A186" s="311" t="s">
        <v>283</v>
      </c>
      <c r="B186" s="369">
        <f t="shared" ref="B186:I186" si="71">B20+B26</f>
        <v>47515490</v>
      </c>
      <c r="C186" s="358">
        <f t="shared" si="71"/>
        <v>47515490</v>
      </c>
      <c r="D186" s="358">
        <f t="shared" si="71"/>
        <v>47515490</v>
      </c>
      <c r="E186" s="358">
        <f t="shared" si="71"/>
        <v>47515490</v>
      </c>
      <c r="F186" s="358">
        <f t="shared" si="71"/>
        <v>47515490</v>
      </c>
      <c r="G186" s="358">
        <f t="shared" si="71"/>
        <v>40182004.25</v>
      </c>
      <c r="H186" s="358">
        <f t="shared" si="71"/>
        <v>40182004.25</v>
      </c>
      <c r="I186" s="358">
        <f t="shared" si="71"/>
        <v>30136503.1875</v>
      </c>
    </row>
    <row r="187" spans="1:9" s="288" customFormat="1" ht="15.6" hidden="1" x14ac:dyDescent="0.3">
      <c r="A187" s="370" t="s">
        <v>273</v>
      </c>
      <c r="B187" s="371" t="e">
        <f t="shared" ref="B187:I187" si="72">B185-B186</f>
        <v>#REF!</v>
      </c>
      <c r="C187" s="362" t="e">
        <f t="shared" si="72"/>
        <v>#REF!</v>
      </c>
      <c r="D187" s="362" t="e">
        <f t="shared" si="72"/>
        <v>#REF!</v>
      </c>
      <c r="E187" s="362" t="e">
        <f t="shared" si="72"/>
        <v>#REF!</v>
      </c>
      <c r="F187" s="362" t="e">
        <f t="shared" si="72"/>
        <v>#REF!</v>
      </c>
      <c r="G187" s="362" t="e">
        <f t="shared" si="72"/>
        <v>#REF!</v>
      </c>
      <c r="H187" s="362" t="e">
        <f t="shared" si="72"/>
        <v>#REF!</v>
      </c>
      <c r="I187" s="362" t="e">
        <f t="shared" si="72"/>
        <v>#REF!</v>
      </c>
    </row>
    <row r="188" spans="1:9" s="288" customFormat="1" ht="15.6" hidden="1" x14ac:dyDescent="0.3">
      <c r="A188" s="372"/>
      <c r="B188" s="377" t="e">
        <f>IF(ROUND((B$187+B$192+B$197),0)=0,"OK","Not OK")</f>
        <v>#REF!</v>
      </c>
      <c r="C188" s="377" t="e">
        <f t="shared" ref="C188:I188" si="73">IF(ROUND((C$187+C$192+C$197),0)=0,"OK","Not OK")</f>
        <v>#REF!</v>
      </c>
      <c r="D188" s="377" t="e">
        <f t="shared" si="73"/>
        <v>#REF!</v>
      </c>
      <c r="E188" s="377" t="e">
        <f t="shared" si="73"/>
        <v>#REF!</v>
      </c>
      <c r="F188" s="377" t="e">
        <f t="shared" si="73"/>
        <v>#REF!</v>
      </c>
      <c r="G188" s="377" t="e">
        <f t="shared" si="73"/>
        <v>#REF!</v>
      </c>
      <c r="H188" s="377" t="e">
        <f t="shared" si="73"/>
        <v>#REF!</v>
      </c>
      <c r="I188" s="377" t="e">
        <f t="shared" si="73"/>
        <v>#REF!</v>
      </c>
    </row>
    <row r="189" spans="1:9" s="288" customFormat="1" ht="15.6" hidden="1" x14ac:dyDescent="0.3">
      <c r="A189" s="354" t="s">
        <v>284</v>
      </c>
      <c r="B189" s="363"/>
      <c r="C189" s="363"/>
      <c r="D189" s="363"/>
      <c r="E189" s="363"/>
      <c r="F189" s="363"/>
      <c r="G189" s="363"/>
      <c r="H189" s="363"/>
      <c r="I189" s="363"/>
    </row>
    <row r="190" spans="1:9" s="288" customFormat="1" ht="15.6" hidden="1" x14ac:dyDescent="0.3">
      <c r="A190" s="304" t="s">
        <v>282</v>
      </c>
      <c r="B190" s="368" t="e">
        <f t="shared" ref="B190:I190" si="74">B165+B169+B175</f>
        <v>#REF!</v>
      </c>
      <c r="C190" s="364" t="e">
        <f t="shared" si="74"/>
        <v>#REF!</v>
      </c>
      <c r="D190" s="364" t="e">
        <f t="shared" si="74"/>
        <v>#REF!</v>
      </c>
      <c r="E190" s="364" t="e">
        <f t="shared" si="74"/>
        <v>#REF!</v>
      </c>
      <c r="F190" s="364" t="e">
        <f t="shared" si="74"/>
        <v>#REF!</v>
      </c>
      <c r="G190" s="364" t="e">
        <f t="shared" si="74"/>
        <v>#REF!</v>
      </c>
      <c r="H190" s="364" t="e">
        <f t="shared" si="74"/>
        <v>#REF!</v>
      </c>
      <c r="I190" s="364" t="e">
        <f t="shared" si="74"/>
        <v>#REF!</v>
      </c>
    </row>
    <row r="191" spans="1:9" s="288" customFormat="1" ht="15.6" hidden="1" x14ac:dyDescent="0.3">
      <c r="A191" s="311" t="s">
        <v>283</v>
      </c>
      <c r="B191" s="369">
        <f t="shared" ref="B191:I191" si="75">B21+B27</f>
        <v>33763356</v>
      </c>
      <c r="C191" s="358">
        <f t="shared" si="75"/>
        <v>33763356</v>
      </c>
      <c r="D191" s="358">
        <f t="shared" si="75"/>
        <v>33763356</v>
      </c>
      <c r="E191" s="358">
        <f t="shared" si="75"/>
        <v>33763356</v>
      </c>
      <c r="F191" s="358">
        <f t="shared" si="75"/>
        <v>33763356</v>
      </c>
      <c r="G191" s="358">
        <f t="shared" si="75"/>
        <v>28552358.699999999</v>
      </c>
      <c r="H191" s="358">
        <f t="shared" si="75"/>
        <v>28552358.699999999</v>
      </c>
      <c r="I191" s="358">
        <f t="shared" si="75"/>
        <v>21414269.024999999</v>
      </c>
    </row>
    <row r="192" spans="1:9" s="288" customFormat="1" ht="15.6" hidden="1" x14ac:dyDescent="0.3">
      <c r="A192" s="370" t="s">
        <v>273</v>
      </c>
      <c r="B192" s="371" t="e">
        <f t="shared" ref="B192:I192" si="76">B190-B191</f>
        <v>#REF!</v>
      </c>
      <c r="C192" s="362" t="e">
        <f t="shared" si="76"/>
        <v>#REF!</v>
      </c>
      <c r="D192" s="362" t="e">
        <f t="shared" si="76"/>
        <v>#REF!</v>
      </c>
      <c r="E192" s="362" t="e">
        <f t="shared" si="76"/>
        <v>#REF!</v>
      </c>
      <c r="F192" s="362" t="e">
        <f t="shared" si="76"/>
        <v>#REF!</v>
      </c>
      <c r="G192" s="362" t="e">
        <f t="shared" si="76"/>
        <v>#REF!</v>
      </c>
      <c r="H192" s="362" t="e">
        <f t="shared" si="76"/>
        <v>#REF!</v>
      </c>
      <c r="I192" s="362" t="e">
        <f t="shared" si="76"/>
        <v>#REF!</v>
      </c>
    </row>
    <row r="193" spans="1:9" s="288" customFormat="1" ht="15.6" hidden="1" x14ac:dyDescent="0.3">
      <c r="B193" s="377" t="e">
        <f t="shared" ref="B193:I193" si="77">IF(ROUND((B$187+B$192+B$197),0)=0,"OK","Not OK")</f>
        <v>#REF!</v>
      </c>
      <c r="C193" s="377" t="e">
        <f t="shared" si="77"/>
        <v>#REF!</v>
      </c>
      <c r="D193" s="377" t="e">
        <f t="shared" si="77"/>
        <v>#REF!</v>
      </c>
      <c r="E193" s="377" t="e">
        <f t="shared" si="77"/>
        <v>#REF!</v>
      </c>
      <c r="F193" s="377" t="e">
        <f t="shared" si="77"/>
        <v>#REF!</v>
      </c>
      <c r="G193" s="377" t="e">
        <f t="shared" si="77"/>
        <v>#REF!</v>
      </c>
      <c r="H193" s="377" t="e">
        <f t="shared" si="77"/>
        <v>#REF!</v>
      </c>
      <c r="I193" s="377" t="e">
        <f t="shared" si="77"/>
        <v>#REF!</v>
      </c>
    </row>
    <row r="194" spans="1:9" s="288" customFormat="1" ht="15.6" hidden="1" x14ac:dyDescent="0.3">
      <c r="A194" s="354" t="s">
        <v>285</v>
      </c>
      <c r="B194" s="363"/>
      <c r="C194" s="363"/>
      <c r="D194" s="363"/>
      <c r="E194" s="363"/>
      <c r="F194" s="363"/>
      <c r="G194" s="363"/>
      <c r="H194" s="363"/>
      <c r="I194" s="363"/>
    </row>
    <row r="195" spans="1:9" s="288" customFormat="1" ht="15.6" hidden="1" x14ac:dyDescent="0.3">
      <c r="A195" s="304" t="s">
        <v>282</v>
      </c>
      <c r="B195" s="368" t="e">
        <f t="shared" ref="B195:I195" si="78">B170+B176</f>
        <v>#REF!</v>
      </c>
      <c r="C195" s="364" t="e">
        <f t="shared" si="78"/>
        <v>#REF!</v>
      </c>
      <c r="D195" s="364" t="e">
        <f t="shared" si="78"/>
        <v>#REF!</v>
      </c>
      <c r="E195" s="364" t="e">
        <f t="shared" si="78"/>
        <v>#REF!</v>
      </c>
      <c r="F195" s="364" t="e">
        <f t="shared" si="78"/>
        <v>#REF!</v>
      </c>
      <c r="G195" s="364" t="e">
        <f t="shared" si="78"/>
        <v>#REF!</v>
      </c>
      <c r="H195" s="364" t="e">
        <f t="shared" si="78"/>
        <v>#REF!</v>
      </c>
      <c r="I195" s="364" t="e">
        <f t="shared" si="78"/>
        <v>#REF!</v>
      </c>
    </row>
    <row r="196" spans="1:9" s="288" customFormat="1" ht="15.6" hidden="1" x14ac:dyDescent="0.3">
      <c r="A196" s="311" t="s">
        <v>283</v>
      </c>
      <c r="B196" s="369">
        <f t="shared" ref="B196:I196" si="79">B22+B28</f>
        <v>24859208</v>
      </c>
      <c r="C196" s="358">
        <f t="shared" si="79"/>
        <v>24859208</v>
      </c>
      <c r="D196" s="358">
        <f t="shared" si="79"/>
        <v>24859208</v>
      </c>
      <c r="E196" s="358">
        <f t="shared" si="79"/>
        <v>24859208</v>
      </c>
      <c r="F196" s="358">
        <f t="shared" si="79"/>
        <v>24859208</v>
      </c>
      <c r="G196" s="358">
        <f t="shared" si="79"/>
        <v>21022466.600000001</v>
      </c>
      <c r="H196" s="358">
        <f t="shared" si="79"/>
        <v>21022466.600000001</v>
      </c>
      <c r="I196" s="358">
        <f t="shared" si="79"/>
        <v>15766849.949999999</v>
      </c>
    </row>
    <row r="197" spans="1:9" s="288" customFormat="1" ht="15.6" hidden="1" x14ac:dyDescent="0.3">
      <c r="A197" s="370" t="s">
        <v>273</v>
      </c>
      <c r="B197" s="371" t="e">
        <f t="shared" ref="B197:I197" si="80">B195-B196</f>
        <v>#REF!</v>
      </c>
      <c r="C197" s="362" t="e">
        <f t="shared" si="80"/>
        <v>#REF!</v>
      </c>
      <c r="D197" s="362" t="e">
        <f t="shared" si="80"/>
        <v>#REF!</v>
      </c>
      <c r="E197" s="362" t="e">
        <f t="shared" si="80"/>
        <v>#REF!</v>
      </c>
      <c r="F197" s="362" t="e">
        <f t="shared" si="80"/>
        <v>#REF!</v>
      </c>
      <c r="G197" s="362" t="e">
        <f t="shared" si="80"/>
        <v>#REF!</v>
      </c>
      <c r="H197" s="362" t="e">
        <f t="shared" si="80"/>
        <v>#REF!</v>
      </c>
      <c r="I197" s="362" t="e">
        <f t="shared" si="80"/>
        <v>#REF!</v>
      </c>
    </row>
    <row r="198" spans="1:9" s="288" customFormat="1" ht="15.6" hidden="1" x14ac:dyDescent="0.3">
      <c r="B198" s="377" t="e">
        <f t="shared" ref="B198:I198" si="81">IF(ROUND((B$187+B$192+B$197),0)=0,"OK","Not OK")</f>
        <v>#REF!</v>
      </c>
      <c r="C198" s="377" t="e">
        <f t="shared" si="81"/>
        <v>#REF!</v>
      </c>
      <c r="D198" s="377" t="e">
        <f t="shared" si="81"/>
        <v>#REF!</v>
      </c>
      <c r="E198" s="377" t="e">
        <f t="shared" si="81"/>
        <v>#REF!</v>
      </c>
      <c r="F198" s="377" t="e">
        <f t="shared" si="81"/>
        <v>#REF!</v>
      </c>
      <c r="G198" s="377" t="e">
        <f t="shared" si="81"/>
        <v>#REF!</v>
      </c>
      <c r="H198" s="377" t="e">
        <f t="shared" si="81"/>
        <v>#REF!</v>
      </c>
      <c r="I198" s="377" t="e">
        <f t="shared" si="81"/>
        <v>#REF!</v>
      </c>
    </row>
    <row r="199" spans="1:9" s="288" customFormat="1" ht="15.6" hidden="1" x14ac:dyDescent="0.3">
      <c r="A199" s="354" t="s">
        <v>286</v>
      </c>
      <c r="B199" s="363"/>
      <c r="C199" s="363"/>
      <c r="D199" s="363"/>
      <c r="E199" s="363"/>
      <c r="F199" s="363"/>
      <c r="G199" s="363"/>
      <c r="H199" s="363"/>
      <c r="I199" s="363"/>
    </row>
    <row r="200" spans="1:9" s="288" customFormat="1" ht="15.6" hidden="1" x14ac:dyDescent="0.3">
      <c r="A200" s="357" t="s">
        <v>268</v>
      </c>
      <c r="B200" s="368" t="e">
        <f t="shared" ref="B200:I201" si="82">B59*20*$B130</f>
        <v>#REF!</v>
      </c>
      <c r="C200" s="364" t="e">
        <f t="shared" si="82"/>
        <v>#REF!</v>
      </c>
      <c r="D200" s="364" t="e">
        <f t="shared" si="82"/>
        <v>#REF!</v>
      </c>
      <c r="E200" s="364" t="e">
        <f t="shared" si="82"/>
        <v>#REF!</v>
      </c>
      <c r="F200" s="364" t="e">
        <f t="shared" si="82"/>
        <v>#REF!</v>
      </c>
      <c r="G200" s="364" t="e">
        <f t="shared" si="82"/>
        <v>#REF!</v>
      </c>
      <c r="H200" s="364" t="e">
        <f t="shared" si="82"/>
        <v>#REF!</v>
      </c>
      <c r="I200" s="364" t="e">
        <f t="shared" si="82"/>
        <v>#REF!</v>
      </c>
    </row>
    <row r="201" spans="1:9" s="288" customFormat="1" ht="15.6" hidden="1" x14ac:dyDescent="0.3">
      <c r="A201" s="357" t="s">
        <v>269</v>
      </c>
      <c r="B201" s="369" t="e">
        <f t="shared" si="82"/>
        <v>#REF!</v>
      </c>
      <c r="C201" s="358" t="e">
        <f t="shared" si="82"/>
        <v>#REF!</v>
      </c>
      <c r="D201" s="358" t="e">
        <f t="shared" si="82"/>
        <v>#REF!</v>
      </c>
      <c r="E201" s="358" t="e">
        <f t="shared" si="82"/>
        <v>#REF!</v>
      </c>
      <c r="F201" s="358" t="e">
        <f t="shared" si="82"/>
        <v>#REF!</v>
      </c>
      <c r="G201" s="358" t="e">
        <f t="shared" si="82"/>
        <v>#REF!</v>
      </c>
      <c r="H201" s="358" t="e">
        <f t="shared" si="82"/>
        <v>#REF!</v>
      </c>
      <c r="I201" s="358" t="e">
        <f t="shared" si="82"/>
        <v>#REF!</v>
      </c>
    </row>
    <row r="202" spans="1:9" s="288" customFormat="1" ht="15.6" hidden="1" x14ac:dyDescent="0.3">
      <c r="A202" s="357" t="s">
        <v>270</v>
      </c>
      <c r="B202" s="358" t="e">
        <f>IF(B201=0,(B61-B51)*20*($B131+$B132),(B61-B51)*20*$B132)</f>
        <v>#REF!</v>
      </c>
      <c r="C202" s="358" t="e">
        <f>IF(C201=0,(C61-C51)*20*($B131+$B132),(C61-C51)*20*$B132)</f>
        <v>#REF!</v>
      </c>
      <c r="D202" s="358" t="e">
        <f t="shared" ref="D202:I202" si="83">IF(D201=0,(D61-D51)*20*($B131+$B132),(D61-D51)*20*$B132)</f>
        <v>#REF!</v>
      </c>
      <c r="E202" s="358" t="e">
        <f t="shared" si="83"/>
        <v>#REF!</v>
      </c>
      <c r="F202" s="358" t="e">
        <f t="shared" si="83"/>
        <v>#REF!</v>
      </c>
      <c r="G202" s="358" t="e">
        <f t="shared" si="83"/>
        <v>#REF!</v>
      </c>
      <c r="H202" s="358" t="e">
        <f t="shared" si="83"/>
        <v>#REF!</v>
      </c>
      <c r="I202" s="358" t="e">
        <f t="shared" si="83"/>
        <v>#REF!</v>
      </c>
    </row>
    <row r="203" spans="1:9" s="288" customFormat="1" ht="15.6" hidden="1" x14ac:dyDescent="0.3">
      <c r="A203" s="359" t="s">
        <v>6</v>
      </c>
      <c r="B203" s="373" t="e">
        <f t="shared" ref="B203:I203" si="84">SUM(B200:B202)</f>
        <v>#REF!</v>
      </c>
      <c r="C203" s="360" t="e">
        <f t="shared" si="84"/>
        <v>#REF!</v>
      </c>
      <c r="D203" s="360" t="e">
        <f t="shared" si="84"/>
        <v>#REF!</v>
      </c>
      <c r="E203" s="360" t="e">
        <f t="shared" si="84"/>
        <v>#REF!</v>
      </c>
      <c r="F203" s="360" t="e">
        <f t="shared" si="84"/>
        <v>#REF!</v>
      </c>
      <c r="G203" s="360" t="e">
        <f t="shared" si="84"/>
        <v>#REF!</v>
      </c>
      <c r="H203" s="360" t="e">
        <f t="shared" si="84"/>
        <v>#REF!</v>
      </c>
      <c r="I203" s="360" t="e">
        <f t="shared" si="84"/>
        <v>#REF!</v>
      </c>
    </row>
    <row r="204" spans="1:9" s="288" customFormat="1" ht="15.6" hidden="1" x14ac:dyDescent="0.3">
      <c r="A204" s="357" t="s">
        <v>187</v>
      </c>
      <c r="B204" s="358">
        <f>B13*20</f>
        <v>0</v>
      </c>
      <c r="C204" s="358">
        <f t="shared" ref="C204:I204" si="85">C13*20</f>
        <v>0</v>
      </c>
      <c r="D204" s="358">
        <f t="shared" si="85"/>
        <v>0</v>
      </c>
      <c r="E204" s="358">
        <f t="shared" si="85"/>
        <v>11680000</v>
      </c>
      <c r="F204" s="358">
        <f t="shared" si="85"/>
        <v>0</v>
      </c>
      <c r="G204" s="358">
        <f t="shared" si="85"/>
        <v>11680000</v>
      </c>
      <c r="H204" s="358">
        <f t="shared" si="85"/>
        <v>11680000</v>
      </c>
      <c r="I204" s="358">
        <f t="shared" si="85"/>
        <v>11680000</v>
      </c>
    </row>
    <row r="205" spans="1:9" s="288" customFormat="1" ht="15.6" hidden="1" x14ac:dyDescent="0.3">
      <c r="A205" s="359" t="s">
        <v>271</v>
      </c>
      <c r="B205" s="360" t="e">
        <f>SUM(B203:B204)</f>
        <v>#REF!</v>
      </c>
      <c r="C205" s="360" t="e">
        <f t="shared" ref="C205:I205" si="86">SUM(C203:C204)</f>
        <v>#REF!</v>
      </c>
      <c r="D205" s="360" t="e">
        <f t="shared" si="86"/>
        <v>#REF!</v>
      </c>
      <c r="E205" s="360" t="e">
        <f t="shared" si="86"/>
        <v>#REF!</v>
      </c>
      <c r="F205" s="360" t="e">
        <f t="shared" si="86"/>
        <v>#REF!</v>
      </c>
      <c r="G205" s="360" t="e">
        <f t="shared" si="86"/>
        <v>#REF!</v>
      </c>
      <c r="H205" s="360" t="e">
        <f t="shared" si="86"/>
        <v>#REF!</v>
      </c>
      <c r="I205" s="360" t="e">
        <f t="shared" si="86"/>
        <v>#REF!</v>
      </c>
    </row>
    <row r="206" spans="1:9" s="288" customFormat="1" ht="15.6" hidden="1" x14ac:dyDescent="0.3">
      <c r="A206" s="357"/>
      <c r="B206" s="369"/>
      <c r="C206" s="358"/>
      <c r="D206" s="358"/>
      <c r="E206" s="358"/>
      <c r="F206" s="358"/>
      <c r="G206" s="358"/>
      <c r="H206" s="358"/>
      <c r="I206" s="358"/>
    </row>
    <row r="207" spans="1:9" s="288" customFormat="1" ht="15.6" hidden="1" x14ac:dyDescent="0.3">
      <c r="A207" s="357" t="s">
        <v>287</v>
      </c>
      <c r="B207" s="369">
        <f t="shared" ref="B207:I207" si="87">B23+B29+(B35*20)</f>
        <v>301896054</v>
      </c>
      <c r="C207" s="358">
        <f t="shared" si="87"/>
        <v>301896054</v>
      </c>
      <c r="D207" s="358">
        <f t="shared" si="87"/>
        <v>301896054</v>
      </c>
      <c r="E207" s="358">
        <f t="shared" si="87"/>
        <v>301896054</v>
      </c>
      <c r="F207" s="358">
        <f t="shared" si="87"/>
        <v>301896054</v>
      </c>
      <c r="G207" s="358">
        <f t="shared" si="87"/>
        <v>285514829.55000001</v>
      </c>
      <c r="H207" s="358">
        <f t="shared" si="87"/>
        <v>285514829.55000001</v>
      </c>
      <c r="I207" s="358">
        <f t="shared" si="87"/>
        <v>263075622.16249999</v>
      </c>
    </row>
    <row r="208" spans="1:9" s="288" customFormat="1" ht="15.6" hidden="1" x14ac:dyDescent="0.3">
      <c r="A208" s="361" t="s">
        <v>273</v>
      </c>
      <c r="B208" s="371" t="e">
        <f>B205-B207</f>
        <v>#REF!</v>
      </c>
      <c r="C208" s="371" t="e">
        <f t="shared" ref="C208:I208" si="88">C205-C207</f>
        <v>#REF!</v>
      </c>
      <c r="D208" s="371" t="e">
        <f t="shared" si="88"/>
        <v>#REF!</v>
      </c>
      <c r="E208" s="371" t="e">
        <f t="shared" si="88"/>
        <v>#REF!</v>
      </c>
      <c r="F208" s="371" t="e">
        <f t="shared" si="88"/>
        <v>#REF!</v>
      </c>
      <c r="G208" s="371" t="e">
        <f t="shared" si="88"/>
        <v>#REF!</v>
      </c>
      <c r="H208" s="371" t="e">
        <f t="shared" si="88"/>
        <v>#REF!</v>
      </c>
      <c r="I208" s="371" t="e">
        <f t="shared" si="88"/>
        <v>#REF!</v>
      </c>
    </row>
    <row r="209" spans="1:9" s="288" customFormat="1" ht="15.6" hidden="1" x14ac:dyDescent="0.3">
      <c r="B209" s="348"/>
      <c r="C209" s="348"/>
      <c r="D209" s="348"/>
      <c r="E209" s="348"/>
      <c r="F209" s="348"/>
      <c r="G209" s="348"/>
      <c r="H209" s="348"/>
      <c r="I209" s="348"/>
    </row>
    <row r="210" spans="1:9" s="288" customFormat="1" ht="15.6" hidden="1" x14ac:dyDescent="0.3">
      <c r="A210" s="354" t="s">
        <v>288</v>
      </c>
      <c r="B210" s="363"/>
      <c r="C210" s="363"/>
      <c r="D210" s="363"/>
      <c r="E210" s="363"/>
      <c r="F210" s="363"/>
      <c r="G210" s="363"/>
      <c r="H210" s="363"/>
      <c r="I210" s="363"/>
    </row>
    <row r="211" spans="1:9" s="288" customFormat="1" ht="15.6" hidden="1" x14ac:dyDescent="0.3">
      <c r="A211" s="357" t="s">
        <v>268</v>
      </c>
      <c r="B211" s="368" t="e">
        <f t="shared" ref="B211:I212" si="89">B59*20*$B130</f>
        <v>#REF!</v>
      </c>
      <c r="C211" s="364" t="e">
        <f t="shared" si="89"/>
        <v>#REF!</v>
      </c>
      <c r="D211" s="364" t="e">
        <f t="shared" si="89"/>
        <v>#REF!</v>
      </c>
      <c r="E211" s="364" t="e">
        <f t="shared" si="89"/>
        <v>#REF!</v>
      </c>
      <c r="F211" s="364" t="e">
        <f t="shared" si="89"/>
        <v>#REF!</v>
      </c>
      <c r="G211" s="364" t="e">
        <f t="shared" si="89"/>
        <v>#REF!</v>
      </c>
      <c r="H211" s="364" t="e">
        <f t="shared" si="89"/>
        <v>#REF!</v>
      </c>
      <c r="I211" s="364" t="e">
        <f t="shared" si="89"/>
        <v>#REF!</v>
      </c>
    </row>
    <row r="212" spans="1:9" s="288" customFormat="1" ht="15.6" hidden="1" x14ac:dyDescent="0.3">
      <c r="A212" s="357" t="s">
        <v>269</v>
      </c>
      <c r="B212" s="369" t="e">
        <f t="shared" si="89"/>
        <v>#REF!</v>
      </c>
      <c r="C212" s="358" t="e">
        <f t="shared" si="89"/>
        <v>#REF!</v>
      </c>
      <c r="D212" s="358" t="e">
        <f t="shared" si="89"/>
        <v>#REF!</v>
      </c>
      <c r="E212" s="358" t="e">
        <f t="shared" si="89"/>
        <v>#REF!</v>
      </c>
      <c r="F212" s="358" t="e">
        <f t="shared" si="89"/>
        <v>#REF!</v>
      </c>
      <c r="G212" s="358" t="e">
        <f t="shared" si="89"/>
        <v>#REF!</v>
      </c>
      <c r="H212" s="358" t="e">
        <f t="shared" si="89"/>
        <v>#REF!</v>
      </c>
      <c r="I212" s="358" t="e">
        <f t="shared" si="89"/>
        <v>#REF!</v>
      </c>
    </row>
    <row r="213" spans="1:9" s="288" customFormat="1" ht="15.6" hidden="1" x14ac:dyDescent="0.3">
      <c r="A213" s="357" t="s">
        <v>270</v>
      </c>
      <c r="B213" s="358" t="e">
        <f t="shared" ref="B213:I213" si="90">IF(B212=0,B61*20*($B131+$B132),B61*20*$B132)</f>
        <v>#REF!</v>
      </c>
      <c r="C213" s="358" t="e">
        <f t="shared" si="90"/>
        <v>#REF!</v>
      </c>
      <c r="D213" s="358" t="e">
        <f t="shared" si="90"/>
        <v>#REF!</v>
      </c>
      <c r="E213" s="358" t="e">
        <f t="shared" si="90"/>
        <v>#REF!</v>
      </c>
      <c r="F213" s="358" t="e">
        <f t="shared" si="90"/>
        <v>#REF!</v>
      </c>
      <c r="G213" s="358" t="e">
        <f t="shared" si="90"/>
        <v>#REF!</v>
      </c>
      <c r="H213" s="358" t="e">
        <f t="shared" si="90"/>
        <v>#REF!</v>
      </c>
      <c r="I213" s="358" t="e">
        <f t="shared" si="90"/>
        <v>#REF!</v>
      </c>
    </row>
    <row r="214" spans="1:9" s="288" customFormat="1" ht="15.6" hidden="1" x14ac:dyDescent="0.3">
      <c r="A214" s="359" t="s">
        <v>6</v>
      </c>
      <c r="B214" s="373" t="e">
        <f t="shared" ref="B214:I214" si="91">SUM(B211:B213)</f>
        <v>#REF!</v>
      </c>
      <c r="C214" s="360" t="e">
        <f t="shared" si="91"/>
        <v>#REF!</v>
      </c>
      <c r="D214" s="360" t="e">
        <f t="shared" si="91"/>
        <v>#REF!</v>
      </c>
      <c r="E214" s="360" t="e">
        <f t="shared" si="91"/>
        <v>#REF!</v>
      </c>
      <c r="F214" s="360" t="e">
        <f t="shared" si="91"/>
        <v>#REF!</v>
      </c>
      <c r="G214" s="360" t="e">
        <f t="shared" si="91"/>
        <v>#REF!</v>
      </c>
      <c r="H214" s="360" t="e">
        <f t="shared" si="91"/>
        <v>#REF!</v>
      </c>
      <c r="I214" s="360" t="e">
        <f t="shared" si="91"/>
        <v>#REF!</v>
      </c>
    </row>
    <row r="215" spans="1:9" s="288" customFormat="1" ht="15.6" hidden="1" x14ac:dyDescent="0.3">
      <c r="A215" s="359"/>
      <c r="B215" s="373"/>
      <c r="C215" s="360"/>
      <c r="D215" s="360"/>
      <c r="E215" s="360"/>
      <c r="F215" s="360"/>
      <c r="G215" s="360"/>
      <c r="H215" s="360"/>
      <c r="I215" s="360"/>
    </row>
    <row r="216" spans="1:9" s="288" customFormat="1" ht="15.6" hidden="1" x14ac:dyDescent="0.3">
      <c r="A216" s="357" t="s">
        <v>289</v>
      </c>
      <c r="B216" s="374">
        <f t="shared" ref="B216:I216" si="92">$B134</f>
        <v>5933</v>
      </c>
      <c r="C216" s="375">
        <f t="shared" si="92"/>
        <v>5933</v>
      </c>
      <c r="D216" s="375">
        <f t="shared" si="92"/>
        <v>5933</v>
      </c>
      <c r="E216" s="375">
        <f t="shared" si="92"/>
        <v>5933</v>
      </c>
      <c r="F216" s="375">
        <f t="shared" si="92"/>
        <v>5933</v>
      </c>
      <c r="G216" s="375">
        <f t="shared" si="92"/>
        <v>5933</v>
      </c>
      <c r="H216" s="375">
        <f t="shared" si="92"/>
        <v>5933</v>
      </c>
      <c r="I216" s="375">
        <f t="shared" si="92"/>
        <v>5933</v>
      </c>
    </row>
    <row r="217" spans="1:9" s="288" customFormat="1" ht="15.6" hidden="1" x14ac:dyDescent="0.3">
      <c r="A217" s="357" t="s">
        <v>290</v>
      </c>
      <c r="B217" s="369" t="e">
        <f t="shared" ref="B217:I217" si="93">B214/B216/20</f>
        <v>#REF!</v>
      </c>
      <c r="C217" s="358" t="e">
        <f t="shared" si="93"/>
        <v>#REF!</v>
      </c>
      <c r="D217" s="358" t="e">
        <f t="shared" si="93"/>
        <v>#REF!</v>
      </c>
      <c r="E217" s="358" t="e">
        <f t="shared" si="93"/>
        <v>#REF!</v>
      </c>
      <c r="F217" s="358" t="e">
        <f t="shared" si="93"/>
        <v>#REF!</v>
      </c>
      <c r="G217" s="358" t="e">
        <f t="shared" si="93"/>
        <v>#REF!</v>
      </c>
      <c r="H217" s="358" t="e">
        <f t="shared" si="93"/>
        <v>#REF!</v>
      </c>
      <c r="I217" s="358" t="e">
        <f t="shared" si="93"/>
        <v>#REF!</v>
      </c>
    </row>
    <row r="218" spans="1:9" s="288" customFormat="1" ht="15.6" hidden="1" x14ac:dyDescent="0.3">
      <c r="A218" s="357" t="s">
        <v>291</v>
      </c>
      <c r="B218" s="369" t="e">
        <f t="shared" ref="B218:I218" si="94">B65</f>
        <v>#REF!</v>
      </c>
      <c r="C218" s="358" t="e">
        <f t="shared" si="94"/>
        <v>#REF!</v>
      </c>
      <c r="D218" s="358" t="e">
        <f t="shared" si="94"/>
        <v>#REF!</v>
      </c>
      <c r="E218" s="358" t="e">
        <f t="shared" si="94"/>
        <v>#REF!</v>
      </c>
      <c r="F218" s="358" t="e">
        <f t="shared" si="94"/>
        <v>#REF!</v>
      </c>
      <c r="G218" s="358" t="e">
        <f t="shared" si="94"/>
        <v>#REF!</v>
      </c>
      <c r="H218" s="358" t="e">
        <f t="shared" si="94"/>
        <v>#REF!</v>
      </c>
      <c r="I218" s="358" t="e">
        <f t="shared" si="94"/>
        <v>#REF!</v>
      </c>
    </row>
    <row r="219" spans="1:9" s="288" customFormat="1" ht="15.6" hidden="1" x14ac:dyDescent="0.3">
      <c r="A219" s="361" t="s">
        <v>273</v>
      </c>
      <c r="B219" s="371" t="e">
        <f t="shared" ref="B219:I219" si="95">B217-B218</f>
        <v>#REF!</v>
      </c>
      <c r="C219" s="362" t="e">
        <f t="shared" si="95"/>
        <v>#REF!</v>
      </c>
      <c r="D219" s="362" t="e">
        <f t="shared" si="95"/>
        <v>#REF!</v>
      </c>
      <c r="E219" s="362" t="e">
        <f t="shared" si="95"/>
        <v>#REF!</v>
      </c>
      <c r="F219" s="362" t="e">
        <f t="shared" si="95"/>
        <v>#REF!</v>
      </c>
      <c r="G219" s="362" t="e">
        <f t="shared" si="95"/>
        <v>#REF!</v>
      </c>
      <c r="H219" s="362" t="e">
        <f t="shared" si="95"/>
        <v>#REF!</v>
      </c>
      <c r="I219" s="362" t="e">
        <f t="shared" si="95"/>
        <v>#REF!</v>
      </c>
    </row>
    <row r="220" spans="1:9" s="288" customFormat="1" ht="15.6" hidden="1" x14ac:dyDescent="0.3">
      <c r="B220" s="376" t="e">
        <f>IF(AND(B79=0,B160=0,B88=0,B115=0,OR(B182=0,B183="OK"),OR(B187=0,B188="OK"),OR(B192=0,B193="OK"),OR(B197=0,B198="OK"),B208=0,B219=0),"OK","Not OK")</f>
        <v>#REF!</v>
      </c>
      <c r="C220" s="376" t="e">
        <f t="shared" ref="C220:I220" si="96">IF(AND(C79=0,C160=0,C88=0,C115=0,OR(C182=0,C183="OK"),OR(C187=0,C188="OK"),OR(C192=0,C193="OK"),OR(C197=0,C198="OK"),C208=0,C219=0),"OK","Not OK")</f>
        <v>#REF!</v>
      </c>
      <c r="D220" s="376" t="e">
        <f t="shared" si="96"/>
        <v>#REF!</v>
      </c>
      <c r="E220" s="376" t="e">
        <f t="shared" si="96"/>
        <v>#REF!</v>
      </c>
      <c r="F220" s="376" t="e">
        <f t="shared" si="96"/>
        <v>#REF!</v>
      </c>
      <c r="G220" s="376" t="e">
        <f t="shared" si="96"/>
        <v>#REF!</v>
      </c>
      <c r="H220" s="376" t="e">
        <f t="shared" si="96"/>
        <v>#REF!</v>
      </c>
      <c r="I220" s="376" t="e">
        <f t="shared" si="96"/>
        <v>#REF!</v>
      </c>
    </row>
  </sheetData>
  <sheetProtection password="966C" sheet="1" objects="1" scenarios="1"/>
  <mergeCells count="10">
    <mergeCell ref="A143:B143"/>
    <mergeCell ref="E129:F129"/>
    <mergeCell ref="A137:B137"/>
    <mergeCell ref="E138:F138"/>
    <mergeCell ref="A1:I1"/>
    <mergeCell ref="A2:I2"/>
    <mergeCell ref="A3:I3"/>
    <mergeCell ref="A4:I4"/>
    <mergeCell ref="B6:I6"/>
    <mergeCell ref="A127:G127"/>
  </mergeCells>
  <conditionalFormatting sqref="B220">
    <cfRule type="cellIs" dxfId="7" priority="3" operator="equal">
      <formula>"OK"</formula>
    </cfRule>
    <cfRule type="cellIs" dxfId="6" priority="4" operator="equal">
      <formula>"Not OK"</formula>
    </cfRule>
  </conditionalFormatting>
  <conditionalFormatting sqref="C220:I220">
    <cfRule type="cellIs" dxfId="5" priority="1" operator="equal">
      <formula>"OK"</formula>
    </cfRule>
    <cfRule type="cellIs" dxfId="4" priority="2" operator="equal">
      <formula>"Not OK"</formula>
    </cfRule>
  </conditionalFormatting>
  <dataValidations count="1">
    <dataValidation type="list" allowBlank="1" showInputMessage="1" showErrorMessage="1" sqref="F139">
      <formula1>"2% above borrowing %, 5%"</formula1>
    </dataValidation>
  </dataValidations>
  <pageMargins left="0.25" right="0.25" top="0.75" bottom="0.75" header="0.3" footer="0.3"/>
  <pageSetup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18433" r:id="rId4" name="Button 1">
              <controlPr defaultSize="0" print="0" autoFill="0" autoPict="0" macro="[0]!CreateGraphsOutputCases">
                <anchor moveWithCells="1">
                  <from>
                    <xdr:col>7</xdr:col>
                    <xdr:colOff>876300</xdr:colOff>
                    <xdr:row>69</xdr:row>
                    <xdr:rowOff>0</xdr:rowOff>
                  </from>
                  <to>
                    <xdr:col>8</xdr:col>
                    <xdr:colOff>1219200</xdr:colOff>
                    <xdr:row>127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Program Summary</vt:lpstr>
      <vt:lpstr>'Output Cases Template'!Print_Area</vt:lpstr>
      <vt:lpstr>'Output Cases Template DT Privat'!Print_Area</vt:lpstr>
      <vt:lpstr>'Output Cases Template DT Public'!Print_Area</vt:lpstr>
      <vt:lpstr>'Program Summary'!Print_Area</vt:lpstr>
      <vt:lpstr>'SRF Loan Template'!Print_Titles</vt:lpstr>
      <vt:lpstr>'USDA Loan Template'!Print_Titles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Sarah Eaton</cp:lastModifiedBy>
  <cp:lastPrinted>2016-03-21T18:08:52Z</cp:lastPrinted>
  <dcterms:created xsi:type="dcterms:W3CDTF">2001-08-23T21:13:24Z</dcterms:created>
  <dcterms:modified xsi:type="dcterms:W3CDTF">2016-03-23T16:05:38Z</dcterms:modified>
</cp:coreProperties>
</file>