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TownAdministrator\TownAdmin\CWRMP\BOS FY17\"/>
    </mc:Choice>
  </mc:AlternateContent>
  <bookViews>
    <workbookView xWindow="0" yWindow="0" windowWidth="28800" windowHeight="13020"/>
  </bookViews>
  <sheets>
    <sheet name="Summary" sheetId="6" r:id="rId1"/>
    <sheet name="5-Year CIP" sheetId="49" r:id="rId2"/>
    <sheet name="Phasing - Data" sheetId="41" r:id="rId3"/>
    <sheet name="Phasing - Chart" sheetId="45" r:id="rId4"/>
    <sheet name="Phasing - Pie" sheetId="46" r:id="rId5"/>
    <sheet name="Collection - Downtown" sheetId="11" r:id="rId6"/>
    <sheet name="System Comparison - Downtown" sheetId="44" r:id="rId7"/>
    <sheet name="WWTF - Downtown" sheetId="12" r:id="rId8"/>
    <sheet name="Effluent Disposal - Downtown" sheetId="14" r:id="rId9"/>
    <sheet name="Collection - MP" sheetId="10" r:id="rId10"/>
    <sheet name="System Comparison - MP" sheetId="33" r:id="rId11"/>
    <sheet name="WWTF - MP" sheetId="13" r:id="rId12"/>
    <sheet name="Effluent Disposal - MP" sheetId="7" r:id="rId13"/>
    <sheet name="Aqua - D1" sheetId="8" r:id="rId14"/>
    <sheet name="Aqua - D2" sheetId="21" r:id="rId15"/>
    <sheet name="Aqua - D3" sheetId="22" r:id="rId16"/>
    <sheet name="Aqua - D4" sheetId="23" r:id="rId17"/>
    <sheet name="Aqua - S1" sheetId="24" r:id="rId18"/>
    <sheet name="Aqua - S2" sheetId="25" r:id="rId19"/>
    <sheet name="Aqua - S3" sheetId="26" r:id="rId20"/>
    <sheet name="FCW - D1" sheetId="1" r:id="rId21"/>
    <sheet name="FCW - D2" sheetId="15" r:id="rId22"/>
    <sheet name="FCW - S1" sheetId="16" r:id="rId23"/>
    <sheet name="FCW - S2" sheetId="17" r:id="rId24"/>
    <sheet name="FCW - S3" sheetId="18" r:id="rId25"/>
    <sheet name="FCW - S4" sheetId="19" r:id="rId26"/>
    <sheet name="FCW - S5" sheetId="20" r:id="rId27"/>
    <sheet name="PRB - D1" sheetId="9" r:id="rId28"/>
    <sheet name="PRB - D2" sheetId="27" r:id="rId29"/>
    <sheet name="PRB - S1" sheetId="28" r:id="rId30"/>
    <sheet name="PRB - S2" sheetId="29" r:id="rId31"/>
    <sheet name="PRB - S3" sheetId="30" r:id="rId32"/>
    <sheet name="PRB - S4" sheetId="31" r:id="rId33"/>
    <sheet name="PRB - S5" sheetId="32" r:id="rId34"/>
    <sheet name="Septic Impact Fee" sheetId="37" r:id="rId35"/>
    <sheet name="Septage Proforma" sheetId="47" r:id="rId36"/>
    <sheet name="Septage Schematics" sheetId="43" r:id="rId37"/>
    <sheet name="Assumptions" sheetId="4" r:id="rId38"/>
    <sheet name="Units" sheetId="5" r:id="rId39"/>
  </sheets>
  <externalReferences>
    <externalReference r:id="rId40"/>
    <externalReference r:id="rId41"/>
  </externalReferences>
  <definedNames>
    <definedName name="InflationRate">'Phasing - Data'!$E$294</definedName>
    <definedName name="InterestRate">'Phasing - Data'!$G$294</definedName>
    <definedName name="_xlnm.Print_Area" localSheetId="1">'5-Year CIP'!$A$2:$AN$34</definedName>
    <definedName name="_xlnm.Print_Area" localSheetId="13">'Aqua - D1'!$A$1:$H$125</definedName>
    <definedName name="_xlnm.Print_Area" localSheetId="14">'Aqua - D2'!$A$1:$H$125</definedName>
    <definedName name="_xlnm.Print_Area" localSheetId="15">'Aqua - D3'!$A$1:$H$125</definedName>
    <definedName name="_xlnm.Print_Area" localSheetId="16">'Aqua - D4'!$A$1:$H$125</definedName>
    <definedName name="_xlnm.Print_Area" localSheetId="17">'Aqua - S1'!$A$1:$H$125</definedName>
    <definedName name="_xlnm.Print_Area" localSheetId="18">'Aqua - S2'!$A$1:$H$125</definedName>
    <definedName name="_xlnm.Print_Area" localSheetId="19">'Aqua - S3'!$A$1:$H$125</definedName>
    <definedName name="_xlnm.Print_Area" localSheetId="37">Assumptions!$A$1:$F$59</definedName>
    <definedName name="_xlnm.Print_Area" localSheetId="5">'Collection - Downtown'!$A$1:$H$125</definedName>
    <definedName name="_xlnm.Print_Area" localSheetId="9">'Collection - MP'!$A$1:$H$125</definedName>
    <definedName name="_xlnm.Print_Area" localSheetId="8">'Effluent Disposal - Downtown'!$A$1:$H$125</definedName>
    <definedName name="_xlnm.Print_Area" localSheetId="12">'Effluent Disposal - MP'!$A$1:$H$125</definedName>
    <definedName name="_xlnm.Print_Area" localSheetId="20">'FCW - D1'!$A$1:$H$125</definedName>
    <definedName name="_xlnm.Print_Area" localSheetId="21">'FCW - D2'!$A$1:$H$125</definedName>
    <definedName name="_xlnm.Print_Area" localSheetId="22">'FCW - S1'!$A$1:$H$125</definedName>
    <definedName name="_xlnm.Print_Area" localSheetId="23">'FCW - S2'!$A$1:$H$125</definedName>
    <definedName name="_xlnm.Print_Area" localSheetId="24">'FCW - S3'!$A$1:$H$125</definedName>
    <definedName name="_xlnm.Print_Area" localSheetId="25">'FCW - S4'!$A$1:$H$125</definedName>
    <definedName name="_xlnm.Print_Area" localSheetId="26">'FCW - S5'!$A$1:$H$125</definedName>
    <definedName name="_xlnm.Print_Area" localSheetId="3">'Phasing - Chart'!$A$1:$O$70</definedName>
    <definedName name="_xlnm.Print_Area" localSheetId="2">'Phasing - Data'!$A$1:$DD$296</definedName>
    <definedName name="_xlnm.Print_Area" localSheetId="4">'Phasing - Pie'!$A$1:$X$87</definedName>
    <definedName name="_xlnm.Print_Area" localSheetId="27">'PRB - D1'!$A$1:$H$125</definedName>
    <definedName name="_xlnm.Print_Area" localSheetId="28">'PRB - D2'!$A$1:$H$125</definedName>
    <definedName name="_xlnm.Print_Area" localSheetId="29">'PRB - S1'!$A$1:$H$125</definedName>
    <definedName name="_xlnm.Print_Area" localSheetId="30">'PRB - S2'!$A$1:$H$125</definedName>
    <definedName name="_xlnm.Print_Area" localSheetId="31">'PRB - S3'!$A$1:$H$125</definedName>
    <definedName name="_xlnm.Print_Area" localSheetId="32">'PRB - S4'!$A$1:$H$125</definedName>
    <definedName name="_xlnm.Print_Area" localSheetId="33">'PRB - S5'!$A$1:$H$125</definedName>
    <definedName name="_xlnm.Print_Area" localSheetId="35">'Septage Proforma'!$A$1:$F$33</definedName>
    <definedName name="_xlnm.Print_Area" localSheetId="36">'Septage Schematics'!$A$1:$L$27</definedName>
    <definedName name="_xlnm.Print_Area" localSheetId="34">'Septic Impact Fee'!$A$1:$D$51</definedName>
    <definedName name="_xlnm.Print_Area" localSheetId="0">Summary!$A$1:$G$64</definedName>
    <definedName name="_xlnm.Print_Area" localSheetId="6">'System Comparison - Downtown'!$A$1:$AI$64</definedName>
    <definedName name="_xlnm.Print_Area" localSheetId="10">'System Comparison - MP'!$A$1:$AI$64</definedName>
    <definedName name="_xlnm.Print_Area" localSheetId="38">Units!$A$1:$E$24</definedName>
    <definedName name="_xlnm.Print_Area" localSheetId="7">'WWTF - Downtown'!$A$1:$H$125</definedName>
    <definedName name="_xlnm.Print_Area" localSheetId="11">'WWTF - MP'!$A$1:$H$125</definedName>
    <definedName name="_xlnm.Print_Titles" localSheetId="2">'Phasing - Data'!$A:$H,'Phasing - Data'!$1:$8</definedName>
  </definedNames>
  <calcPr calcId="152511"/>
</workbook>
</file>

<file path=xl/calcChain.xml><?xml version="1.0" encoding="utf-8"?>
<calcChain xmlns="http://schemas.openxmlformats.org/spreadsheetml/2006/main">
  <c r="AK10" i="49" l="1"/>
  <c r="AK13" i="49"/>
  <c r="AK15" i="49"/>
  <c r="AF10" i="49"/>
  <c r="AF12" i="49"/>
  <c r="AF13" i="49"/>
  <c r="AF15" i="49"/>
  <c r="V11" i="49"/>
  <c r="V13" i="49"/>
  <c r="V15" i="49"/>
  <c r="Q12" i="49"/>
  <c r="Q13" i="49"/>
  <c r="Q15" i="49"/>
  <c r="AA11" i="49"/>
  <c r="AA13" i="49"/>
  <c r="AA15" i="49"/>
  <c r="Z10" i="49"/>
  <c r="Z12" i="49"/>
  <c r="Y10" i="49"/>
  <c r="AA10" i="49" s="1"/>
  <c r="Y12" i="49"/>
  <c r="AA12" i="49" s="1"/>
  <c r="AD12" i="49"/>
  <c r="AE12" i="49"/>
  <c r="AJ12" i="49"/>
  <c r="D36" i="41" l="1"/>
  <c r="J11" i="49"/>
  <c r="D54" i="41"/>
  <c r="D50" i="41"/>
  <c r="J24" i="49"/>
  <c r="D18" i="41"/>
  <c r="K30" i="49"/>
  <c r="J10" i="49"/>
  <c r="O11" i="49"/>
  <c r="Q11" i="49" s="1"/>
  <c r="T12" i="49"/>
  <c r="V12" i="49" s="1"/>
  <c r="O10" i="49"/>
  <c r="Q10" i="49" s="1"/>
  <c r="T9" i="49"/>
  <c r="T10" i="49"/>
  <c r="V10" i="49" s="1"/>
  <c r="AD11" i="49"/>
  <c r="AF11" i="49" s="1"/>
  <c r="AI12" i="49"/>
  <c r="AK12" i="49" s="1"/>
  <c r="AI11" i="49"/>
  <c r="AK11" i="49" s="1"/>
  <c r="AM13" i="49" l="1"/>
  <c r="AM15" i="49"/>
  <c r="AI27" i="49" l="1"/>
  <c r="AD27" i="49"/>
  <c r="Y27" i="49"/>
  <c r="T27" i="49"/>
  <c r="O27" i="49"/>
  <c r="J30" i="49"/>
  <c r="J28" i="49"/>
  <c r="AD30" i="49"/>
  <c r="AD28" i="49"/>
  <c r="Y30" i="49"/>
  <c r="Y28" i="49"/>
  <c r="T30" i="49"/>
  <c r="T28" i="49"/>
  <c r="O30" i="49"/>
  <c r="O28" i="49"/>
  <c r="AD29" i="49"/>
  <c r="AI30" i="49"/>
  <c r="AI28" i="49"/>
  <c r="AI29" i="49"/>
  <c r="Y29" i="49"/>
  <c r="T29" i="49"/>
  <c r="O29" i="49"/>
  <c r="AI14" i="49"/>
  <c r="AK14" i="49" s="1"/>
  <c r="B60" i="6"/>
  <c r="D105" i="41" l="1"/>
  <c r="G114" i="16" l="1"/>
  <c r="E114" i="16"/>
  <c r="D114" i="16"/>
  <c r="C114" i="16"/>
  <c r="B114" i="16"/>
  <c r="G113" i="16"/>
  <c r="E113" i="16"/>
  <c r="D113" i="16"/>
  <c r="C113" i="16"/>
  <c r="B113" i="16"/>
  <c r="G112" i="16"/>
  <c r="E112" i="16"/>
  <c r="D112" i="16"/>
  <c r="C112" i="16"/>
  <c r="B112" i="16"/>
  <c r="G111" i="16"/>
  <c r="E111" i="16"/>
  <c r="D111" i="16"/>
  <c r="C111" i="16"/>
  <c r="B111" i="16"/>
  <c r="G110" i="16"/>
  <c r="E110" i="16"/>
  <c r="D110" i="16"/>
  <c r="C110" i="16"/>
  <c r="B110" i="16"/>
  <c r="G109" i="16"/>
  <c r="E109" i="16"/>
  <c r="D109" i="16"/>
  <c r="B109" i="16"/>
  <c r="G108" i="16"/>
  <c r="E108" i="16"/>
  <c r="D108" i="16"/>
  <c r="C108" i="16"/>
  <c r="B108" i="16"/>
  <c r="G107" i="16"/>
  <c r="E107" i="16"/>
  <c r="D107" i="16"/>
  <c r="B107" i="16"/>
  <c r="G106" i="16"/>
  <c r="E106" i="16"/>
  <c r="D106" i="16"/>
  <c r="B106" i="16"/>
  <c r="G105" i="16"/>
  <c r="D105" i="16"/>
  <c r="B105" i="16"/>
  <c r="E83" i="16"/>
  <c r="D83" i="16"/>
  <c r="B83" i="16"/>
  <c r="G82" i="16"/>
  <c r="E82" i="16"/>
  <c r="D82" i="16"/>
  <c r="B82" i="16"/>
  <c r="G81" i="16"/>
  <c r="E81" i="16"/>
  <c r="D81" i="16"/>
  <c r="B81" i="16"/>
  <c r="G80" i="16"/>
  <c r="E80" i="16"/>
  <c r="D80" i="16"/>
  <c r="B80" i="16"/>
  <c r="G79" i="16"/>
  <c r="E79" i="16"/>
  <c r="D79" i="16"/>
  <c r="B79" i="16"/>
  <c r="G78" i="16"/>
  <c r="E78" i="16"/>
  <c r="D78" i="16"/>
  <c r="B78" i="16"/>
  <c r="G77" i="16"/>
  <c r="E77" i="16"/>
  <c r="D77" i="16"/>
  <c r="B77" i="16"/>
  <c r="G76" i="16"/>
  <c r="E76" i="16"/>
  <c r="D76" i="16"/>
  <c r="B76" i="16"/>
  <c r="G75" i="16"/>
  <c r="E75" i="16"/>
  <c r="D75" i="16"/>
  <c r="B75" i="16"/>
  <c r="E54" i="16"/>
  <c r="D54" i="16"/>
  <c r="B54" i="16"/>
  <c r="G53" i="16"/>
  <c r="E53" i="16"/>
  <c r="D53" i="16"/>
  <c r="B53" i="16"/>
  <c r="G52" i="16"/>
  <c r="E52" i="16"/>
  <c r="D52" i="16"/>
  <c r="B52" i="16"/>
  <c r="G51" i="16"/>
  <c r="E51" i="16"/>
  <c r="D51" i="16"/>
  <c r="B51" i="16"/>
  <c r="G50" i="16"/>
  <c r="E50" i="16"/>
  <c r="D50" i="16"/>
  <c r="B50" i="16"/>
  <c r="G49" i="16"/>
  <c r="E49" i="16"/>
  <c r="D49" i="16"/>
  <c r="B49" i="16"/>
  <c r="G48" i="16"/>
  <c r="E48" i="16"/>
  <c r="D48" i="16"/>
  <c r="B48" i="16"/>
  <c r="G47" i="16"/>
  <c r="E47" i="16"/>
  <c r="D47" i="16"/>
  <c r="B47" i="16"/>
  <c r="G46" i="16"/>
  <c r="E46" i="16"/>
  <c r="D46" i="16"/>
  <c r="B46" i="16"/>
  <c r="G45" i="16"/>
  <c r="E45" i="16"/>
  <c r="D45" i="16"/>
  <c r="B45" i="16"/>
  <c r="E23" i="16"/>
  <c r="D23" i="16"/>
  <c r="B23" i="16"/>
  <c r="E22" i="16"/>
  <c r="D22" i="16"/>
  <c r="B22" i="16"/>
  <c r="E21" i="16"/>
  <c r="D21" i="16"/>
  <c r="B21" i="16"/>
  <c r="E20" i="16"/>
  <c r="D20" i="16"/>
  <c r="B20" i="16"/>
  <c r="E19" i="16"/>
  <c r="D19" i="16"/>
  <c r="B19" i="16"/>
  <c r="E18" i="16"/>
  <c r="D18" i="16"/>
  <c r="B18" i="16"/>
  <c r="G17" i="16"/>
  <c r="E17" i="16"/>
  <c r="D17" i="16"/>
  <c r="B17" i="16"/>
  <c r="G16" i="16"/>
  <c r="E16" i="16"/>
  <c r="D16" i="16"/>
  <c r="B16" i="16"/>
  <c r="G15" i="16"/>
  <c r="E15" i="16"/>
  <c r="D15" i="16"/>
  <c r="B15" i="16"/>
  <c r="G14" i="16"/>
  <c r="E14" i="16"/>
  <c r="D14" i="16"/>
  <c r="B14" i="16"/>
  <c r="G13" i="16"/>
  <c r="E13" i="16"/>
  <c r="D13" i="16"/>
  <c r="B13" i="16"/>
  <c r="G12" i="16"/>
  <c r="E12" i="16"/>
  <c r="D12" i="16"/>
  <c r="B12" i="16"/>
  <c r="G11" i="16"/>
  <c r="E11" i="16"/>
  <c r="D11" i="16"/>
  <c r="B11" i="16"/>
  <c r="G10" i="16"/>
  <c r="E10" i="16"/>
  <c r="D10" i="16"/>
  <c r="B10" i="16"/>
  <c r="F109" i="15"/>
  <c r="F108" i="15"/>
  <c r="F107" i="15"/>
  <c r="F106" i="15"/>
  <c r="F105" i="15"/>
  <c r="F77" i="15"/>
  <c r="F76" i="15"/>
  <c r="F75" i="15"/>
  <c r="F45" i="15"/>
  <c r="F17" i="15"/>
  <c r="F16" i="15"/>
  <c r="F15" i="15"/>
  <c r="F14" i="15"/>
  <c r="F13" i="15"/>
  <c r="F12" i="15"/>
  <c r="F11" i="15"/>
  <c r="F10" i="15"/>
  <c r="G114" i="17"/>
  <c r="E114" i="17"/>
  <c r="D114" i="17"/>
  <c r="C114" i="17"/>
  <c r="F114" i="17" s="1"/>
  <c r="B114" i="17"/>
  <c r="G113" i="17"/>
  <c r="E113" i="17"/>
  <c r="D113" i="17"/>
  <c r="C113" i="17"/>
  <c r="F113" i="17" s="1"/>
  <c r="B113" i="17"/>
  <c r="G112" i="17"/>
  <c r="E112" i="17"/>
  <c r="D112" i="17"/>
  <c r="C112" i="17"/>
  <c r="F112" i="17" s="1"/>
  <c r="B112" i="17"/>
  <c r="G111" i="17"/>
  <c r="E111" i="17"/>
  <c r="D111" i="17"/>
  <c r="C111" i="17"/>
  <c r="F111" i="17" s="1"/>
  <c r="B111" i="17"/>
  <c r="G110" i="17"/>
  <c r="E110" i="17"/>
  <c r="D110" i="17"/>
  <c r="C110" i="17"/>
  <c r="B110" i="17"/>
  <c r="F109" i="17"/>
  <c r="F108" i="17"/>
  <c r="F107" i="17"/>
  <c r="F106" i="17"/>
  <c r="F105" i="17"/>
  <c r="F83" i="17"/>
  <c r="E83" i="17"/>
  <c r="D83" i="17"/>
  <c r="B83" i="17"/>
  <c r="G82" i="17"/>
  <c r="E82" i="17"/>
  <c r="F82" i="17" s="1"/>
  <c r="D82" i="17"/>
  <c r="B82" i="17"/>
  <c r="G81" i="17"/>
  <c r="E81" i="17"/>
  <c r="F81" i="17" s="1"/>
  <c r="D81" i="17"/>
  <c r="B81" i="17"/>
  <c r="G80" i="17"/>
  <c r="E80" i="17"/>
  <c r="F80" i="17" s="1"/>
  <c r="D80" i="17"/>
  <c r="B80" i="17"/>
  <c r="G79" i="17"/>
  <c r="E79" i="17"/>
  <c r="F79" i="17" s="1"/>
  <c r="D79" i="17"/>
  <c r="B79" i="17"/>
  <c r="G78" i="17"/>
  <c r="E78" i="17"/>
  <c r="F78" i="17" s="1"/>
  <c r="D78" i="17"/>
  <c r="B78" i="17"/>
  <c r="G77" i="17"/>
  <c r="F77" i="17"/>
  <c r="G76" i="17"/>
  <c r="F76" i="17"/>
  <c r="F75" i="17"/>
  <c r="E54" i="17"/>
  <c r="F54" i="17" s="1"/>
  <c r="D54" i="17"/>
  <c r="B54" i="17"/>
  <c r="G53" i="17"/>
  <c r="E53" i="17"/>
  <c r="F53" i="17" s="1"/>
  <c r="D53" i="17"/>
  <c r="B53" i="17"/>
  <c r="G52" i="17"/>
  <c r="E52" i="17"/>
  <c r="F52" i="17" s="1"/>
  <c r="D52" i="17"/>
  <c r="B52" i="17"/>
  <c r="G51" i="17"/>
  <c r="E51" i="17"/>
  <c r="F51" i="17" s="1"/>
  <c r="D51" i="17"/>
  <c r="B51" i="17"/>
  <c r="G50" i="17"/>
  <c r="E50" i="17"/>
  <c r="F50" i="17" s="1"/>
  <c r="D50" i="17"/>
  <c r="B50" i="17"/>
  <c r="G49" i="17"/>
  <c r="E49" i="17"/>
  <c r="F49" i="17" s="1"/>
  <c r="D49" i="17"/>
  <c r="B49" i="17"/>
  <c r="G48" i="17"/>
  <c r="E48" i="17"/>
  <c r="F48" i="17" s="1"/>
  <c r="D48" i="17"/>
  <c r="B48" i="17"/>
  <c r="G47" i="17"/>
  <c r="E47" i="17"/>
  <c r="F47" i="17" s="1"/>
  <c r="D47" i="17"/>
  <c r="B47" i="17"/>
  <c r="G46" i="17"/>
  <c r="E46" i="17"/>
  <c r="F46" i="17" s="1"/>
  <c r="D46" i="17"/>
  <c r="B46" i="17"/>
  <c r="F45" i="17"/>
  <c r="E23" i="17"/>
  <c r="F23" i="17" s="1"/>
  <c r="D23" i="17"/>
  <c r="B23" i="17"/>
  <c r="E22" i="17"/>
  <c r="F22" i="17" s="1"/>
  <c r="D22" i="17"/>
  <c r="B22" i="17"/>
  <c r="E21" i="17"/>
  <c r="F21" i="17" s="1"/>
  <c r="D21" i="17"/>
  <c r="B21" i="17"/>
  <c r="E20" i="17"/>
  <c r="F20" i="17" s="1"/>
  <c r="D20" i="17"/>
  <c r="B20" i="17"/>
  <c r="E19" i="17"/>
  <c r="F19" i="17" s="1"/>
  <c r="D19" i="17"/>
  <c r="B19" i="17"/>
  <c r="F18" i="17"/>
  <c r="D18" i="17"/>
  <c r="B18" i="17"/>
  <c r="F17" i="17"/>
  <c r="F16" i="17"/>
  <c r="F15" i="17"/>
  <c r="F14" i="17"/>
  <c r="F13" i="17"/>
  <c r="F12" i="17"/>
  <c r="F11" i="17"/>
  <c r="F10" i="17"/>
  <c r="D85" i="17"/>
  <c r="E85" i="17"/>
  <c r="D87" i="17"/>
  <c r="E87" i="17"/>
  <c r="F110" i="17" l="1"/>
  <c r="F48" i="21"/>
  <c r="F47" i="21"/>
  <c r="F45" i="21"/>
  <c r="F46" i="21"/>
  <c r="F49" i="21"/>
  <c r="F50" i="21"/>
  <c r="F109" i="21"/>
  <c r="F110" i="21"/>
  <c r="F108" i="21"/>
  <c r="F105" i="21"/>
  <c r="F106" i="21"/>
  <c r="F107" i="21"/>
  <c r="F111" i="21"/>
  <c r="F75" i="22"/>
  <c r="F76" i="22"/>
  <c r="F77" i="22"/>
  <c r="E32" i="22"/>
  <c r="F110" i="24"/>
  <c r="F109" i="24"/>
  <c r="F108" i="24"/>
  <c r="F107" i="24"/>
  <c r="F106" i="24"/>
  <c r="F105" i="24"/>
  <c r="F45" i="24"/>
  <c r="E27" i="24"/>
  <c r="E32" i="24"/>
  <c r="F10" i="24"/>
  <c r="F10" i="22"/>
  <c r="F45" i="22"/>
  <c r="F105" i="22"/>
  <c r="F106" i="22"/>
  <c r="F107" i="22"/>
  <c r="F108" i="22"/>
  <c r="F109" i="22"/>
  <c r="F110" i="22"/>
  <c r="F111" i="22"/>
  <c r="F112" i="22"/>
  <c r="F10" i="21"/>
  <c r="F11" i="21"/>
  <c r="F12" i="21"/>
  <c r="F48" i="8"/>
  <c r="F47" i="8"/>
  <c r="F46" i="8"/>
  <c r="E62" i="8"/>
  <c r="F49" i="8"/>
  <c r="F19" i="8"/>
  <c r="F21" i="8"/>
  <c r="F18" i="8"/>
  <c r="E10" i="14"/>
  <c r="E10" i="7"/>
  <c r="F10" i="9" l="1"/>
  <c r="F11" i="9"/>
  <c r="F12" i="9"/>
  <c r="F13" i="9"/>
  <c r="F14" i="9"/>
  <c r="F15" i="9"/>
  <c r="F16" i="9"/>
  <c r="F75" i="9"/>
  <c r="F17" i="9"/>
  <c r="F18" i="9"/>
  <c r="F78" i="29" l="1"/>
  <c r="F77" i="29"/>
  <c r="F76" i="29"/>
  <c r="F75" i="29"/>
  <c r="C76" i="10" l="1"/>
  <c r="F113" i="13"/>
  <c r="F112" i="13"/>
  <c r="F111" i="13"/>
  <c r="F110" i="13"/>
  <c r="F109" i="13"/>
  <c r="F108" i="13"/>
  <c r="F107" i="13"/>
  <c r="F106" i="13"/>
  <c r="F105" i="13"/>
  <c r="F75" i="13"/>
  <c r="E75" i="13"/>
  <c r="F52" i="13"/>
  <c r="F51" i="13"/>
  <c r="E51" i="13"/>
  <c r="E50" i="13"/>
  <c r="F50" i="13" s="1"/>
  <c r="F49" i="13"/>
  <c r="E48" i="13"/>
  <c r="F48" i="13" s="1"/>
  <c r="E47" i="13"/>
  <c r="F47" i="13" s="1"/>
  <c r="F46" i="13"/>
  <c r="C45" i="13"/>
  <c r="F45" i="13" s="1"/>
  <c r="F21" i="13"/>
  <c r="F20" i="13"/>
  <c r="F19" i="13"/>
  <c r="F18" i="13"/>
  <c r="F17" i="13"/>
  <c r="F16" i="13"/>
  <c r="F15" i="13"/>
  <c r="F14" i="13"/>
  <c r="F13" i="13"/>
  <c r="F12" i="13"/>
  <c r="F11" i="13"/>
  <c r="F10" i="13"/>
  <c r="F113" i="12"/>
  <c r="F112" i="12"/>
  <c r="F111" i="12"/>
  <c r="F110" i="12"/>
  <c r="F109" i="12"/>
  <c r="E108" i="12"/>
  <c r="F108" i="12" s="1"/>
  <c r="F107" i="12"/>
  <c r="F106" i="12"/>
  <c r="F105" i="12"/>
  <c r="F75" i="12"/>
  <c r="E75" i="12"/>
  <c r="F51" i="12"/>
  <c r="F50" i="12"/>
  <c r="E49" i="12"/>
  <c r="F49" i="12" s="1"/>
  <c r="E48" i="12"/>
  <c r="F48" i="12" s="1"/>
  <c r="E47" i="12"/>
  <c r="F47" i="12" s="1"/>
  <c r="F46" i="12"/>
  <c r="F45" i="12"/>
  <c r="C45" i="12"/>
  <c r="F20" i="12"/>
  <c r="F19" i="12"/>
  <c r="F18" i="12"/>
  <c r="F17" i="12"/>
  <c r="F16" i="12"/>
  <c r="F15" i="12"/>
  <c r="F14" i="12"/>
  <c r="F13" i="12"/>
  <c r="F12" i="12"/>
  <c r="F11" i="12"/>
  <c r="F10" i="12"/>
  <c r="J23" i="49" l="1"/>
  <c r="J22" i="49"/>
  <c r="J21" i="49"/>
  <c r="J20" i="49"/>
  <c r="J19" i="49"/>
  <c r="J29" i="49"/>
  <c r="O9" i="49"/>
  <c r="AD14" i="49"/>
  <c r="AF14" i="49" s="1"/>
  <c r="Y14" i="49"/>
  <c r="AA14" i="49" s="1"/>
  <c r="T14" i="49"/>
  <c r="V14" i="49" s="1"/>
  <c r="AI16" i="49"/>
  <c r="AK16" i="49" s="1"/>
  <c r="AJ31" i="49"/>
  <c r="AI31" i="49"/>
  <c r="AH31" i="49"/>
  <c r="AK30" i="49"/>
  <c r="AK29" i="49"/>
  <c r="AK28" i="49"/>
  <c r="AK27" i="49"/>
  <c r="AJ25" i="49"/>
  <c r="AH25" i="49"/>
  <c r="AI24" i="49"/>
  <c r="AK24" i="49" s="1"/>
  <c r="AK23" i="49"/>
  <c r="AI22" i="49"/>
  <c r="AK21" i="49"/>
  <c r="AK20" i="49"/>
  <c r="AK19" i="49"/>
  <c r="AH17" i="49"/>
  <c r="AK9" i="49"/>
  <c r="AD16" i="49"/>
  <c r="AF16" i="49" s="1"/>
  <c r="J16" i="49"/>
  <c r="O16" i="49"/>
  <c r="Q16" i="49" s="1"/>
  <c r="T16" i="49"/>
  <c r="V16" i="49" s="1"/>
  <c r="Y16" i="49"/>
  <c r="AA16" i="49" s="1"/>
  <c r="AM16" i="49" l="1"/>
  <c r="AH33" i="49"/>
  <c r="AI25" i="49"/>
  <c r="AK31" i="49"/>
  <c r="D263" i="41" s="1"/>
  <c r="AK25" i="49"/>
  <c r="D241" i="41" s="1"/>
  <c r="AK22" i="49"/>
  <c r="J9" i="49"/>
  <c r="O14" i="49"/>
  <c r="Q14" i="49" s="1"/>
  <c r="L15" i="49"/>
  <c r="L13" i="49"/>
  <c r="J14" i="49"/>
  <c r="D20" i="47" l="1"/>
  <c r="F55" i="6" l="1"/>
  <c r="F53" i="6"/>
  <c r="F51" i="6"/>
  <c r="E55" i="6"/>
  <c r="E53" i="6"/>
  <c r="E51" i="6"/>
  <c r="D55" i="6"/>
  <c r="D53" i="6"/>
  <c r="D51" i="6"/>
  <c r="D56" i="6" l="1"/>
  <c r="E56" i="6"/>
  <c r="F56" i="6"/>
  <c r="AF255" i="41"/>
  <c r="AE255" i="41"/>
  <c r="AD255" i="41"/>
  <c r="AC255" i="41"/>
  <c r="AF254" i="41"/>
  <c r="AE254" i="41"/>
  <c r="AD254" i="41"/>
  <c r="AC254" i="41"/>
  <c r="AF253" i="41"/>
  <c r="AE253" i="41"/>
  <c r="AD253" i="41"/>
  <c r="AC253" i="41"/>
  <c r="AF252" i="41"/>
  <c r="AE252" i="41"/>
  <c r="AD252" i="41"/>
  <c r="AC252" i="41"/>
  <c r="AF251" i="41"/>
  <c r="AE251" i="41"/>
  <c r="AD251" i="41"/>
  <c r="AC251" i="41"/>
  <c r="AF250" i="41"/>
  <c r="AE250" i="41"/>
  <c r="AD250" i="41"/>
  <c r="AC250" i="41"/>
  <c r="AF249" i="41"/>
  <c r="AE249" i="41"/>
  <c r="AD249" i="41"/>
  <c r="AC249" i="41"/>
  <c r="AF248" i="41"/>
  <c r="AE248" i="41"/>
  <c r="AD248" i="41"/>
  <c r="AC248" i="41"/>
  <c r="AF247" i="41"/>
  <c r="AE247" i="41"/>
  <c r="AD247" i="41"/>
  <c r="AC247" i="41"/>
  <c r="AF246" i="41"/>
  <c r="AE246" i="41"/>
  <c r="AD246" i="41"/>
  <c r="AC246" i="41"/>
  <c r="AF277" i="41"/>
  <c r="AE277" i="41"/>
  <c r="AD277" i="41"/>
  <c r="AC277" i="41"/>
  <c r="AF276" i="41"/>
  <c r="AE276" i="41"/>
  <c r="AD276" i="41"/>
  <c r="AC276" i="41"/>
  <c r="AF275" i="41"/>
  <c r="AE275" i="41"/>
  <c r="AD275" i="41"/>
  <c r="AC275" i="41"/>
  <c r="AF274" i="41"/>
  <c r="AE274" i="41"/>
  <c r="AD274" i="41"/>
  <c r="AC274" i="41"/>
  <c r="AF273" i="41"/>
  <c r="AE273" i="41"/>
  <c r="AD273" i="41"/>
  <c r="AC273" i="41"/>
  <c r="AF272" i="41"/>
  <c r="AE272" i="41"/>
  <c r="AD272" i="41"/>
  <c r="AC272" i="41"/>
  <c r="AF271" i="41"/>
  <c r="AE271" i="41"/>
  <c r="AD271" i="41"/>
  <c r="AC271" i="41"/>
  <c r="AF270" i="41"/>
  <c r="AE270" i="41"/>
  <c r="AD270" i="41"/>
  <c r="AC270" i="41"/>
  <c r="AF269" i="41"/>
  <c r="AE269" i="41"/>
  <c r="AD269" i="41"/>
  <c r="AC269" i="41"/>
  <c r="AF268" i="41"/>
  <c r="AE268" i="41"/>
  <c r="AD268" i="41"/>
  <c r="AC268" i="41"/>
  <c r="I246" i="41" l="1"/>
  <c r="I253" i="41"/>
  <c r="I271" i="41"/>
  <c r="I248" i="41"/>
  <c r="I249" i="41"/>
  <c r="I276" i="41"/>
  <c r="I273" i="41"/>
  <c r="I275" i="41"/>
  <c r="I247" i="41"/>
  <c r="I268" i="41"/>
  <c r="I274" i="41"/>
  <c r="I251" i="41"/>
  <c r="I254" i="41"/>
  <c r="I250" i="41"/>
  <c r="I255" i="41"/>
  <c r="I269" i="41"/>
  <c r="I270" i="41"/>
  <c r="I272" i="41"/>
  <c r="I252" i="41"/>
  <c r="I277" i="41"/>
  <c r="AC280" i="41"/>
  <c r="AD280" i="41"/>
  <c r="AE280" i="41"/>
  <c r="AF280" i="41"/>
  <c r="AC281" i="41"/>
  <c r="AD281" i="41"/>
  <c r="AE281" i="41"/>
  <c r="AF281" i="41"/>
  <c r="AC282" i="41"/>
  <c r="AD282" i="41"/>
  <c r="AE282" i="41"/>
  <c r="AF282" i="41"/>
  <c r="AD283" i="41"/>
  <c r="AE283" i="41"/>
  <c r="AF283" i="41"/>
  <c r="AC284" i="41"/>
  <c r="AD284" i="41"/>
  <c r="AE284" i="41"/>
  <c r="AF284" i="41"/>
  <c r="AG284" i="41"/>
  <c r="AH284" i="41"/>
  <c r="AI284" i="41"/>
  <c r="AJ284" i="41"/>
  <c r="AK284" i="41"/>
  <c r="AL284" i="41"/>
  <c r="AM284" i="41"/>
  <c r="AN284" i="41"/>
  <c r="AO284" i="41"/>
  <c r="AP284" i="41"/>
  <c r="AQ284" i="41"/>
  <c r="AR284" i="41"/>
  <c r="AS284" i="41"/>
  <c r="AT284" i="41"/>
  <c r="AU284" i="41"/>
  <c r="AV284" i="41"/>
  <c r="AW284" i="41"/>
  <c r="AX284" i="41"/>
  <c r="AY284" i="41"/>
  <c r="AZ284" i="41"/>
  <c r="BA284" i="41"/>
  <c r="BB284" i="41"/>
  <c r="BC284" i="41"/>
  <c r="BD284" i="41"/>
  <c r="BE284" i="41"/>
  <c r="BF284" i="41"/>
  <c r="BG284" i="41"/>
  <c r="BH284" i="41"/>
  <c r="BI284" i="41"/>
  <c r="BJ284" i="41"/>
  <c r="BK284" i="41"/>
  <c r="BL284" i="41"/>
  <c r="BM284" i="41"/>
  <c r="BN284" i="41"/>
  <c r="BO284" i="41"/>
  <c r="BP284" i="41"/>
  <c r="BQ284" i="41"/>
  <c r="BR284" i="41"/>
  <c r="BS284" i="41"/>
  <c r="BT284" i="41"/>
  <c r="BU284" i="41"/>
  <c r="BV284" i="41"/>
  <c r="BW284" i="41"/>
  <c r="BX284" i="41"/>
  <c r="BY284" i="41"/>
  <c r="BZ284" i="41"/>
  <c r="CA284" i="41"/>
  <c r="CB284" i="41"/>
  <c r="CC284" i="41"/>
  <c r="CD284" i="41"/>
  <c r="CE284" i="41"/>
  <c r="CF284" i="41"/>
  <c r="CG284" i="41"/>
  <c r="CH284" i="41"/>
  <c r="CI284" i="41"/>
  <c r="CJ284" i="41"/>
  <c r="CK284" i="41"/>
  <c r="CL284" i="41"/>
  <c r="CM284" i="41"/>
  <c r="CN284" i="41"/>
  <c r="CO284" i="41"/>
  <c r="CP284" i="41"/>
  <c r="CQ284" i="41"/>
  <c r="CR284" i="41"/>
  <c r="CS284" i="41"/>
  <c r="CT284" i="41"/>
  <c r="CU284" i="41"/>
  <c r="CV284" i="41"/>
  <c r="CW284" i="41"/>
  <c r="CX284" i="41"/>
  <c r="CY284" i="41"/>
  <c r="CZ284" i="41"/>
  <c r="DA284" i="41"/>
  <c r="DB284" i="41"/>
  <c r="DC284" i="41"/>
  <c r="DD284" i="41"/>
  <c r="AC285" i="41"/>
  <c r="AD285" i="41"/>
  <c r="AE285" i="41"/>
  <c r="AF285" i="41"/>
  <c r="AG285" i="41"/>
  <c r="AH285" i="41"/>
  <c r="AI285" i="41"/>
  <c r="AJ285" i="41"/>
  <c r="AK285" i="41"/>
  <c r="AL285" i="41"/>
  <c r="AM285" i="41"/>
  <c r="AN285" i="41"/>
  <c r="AO285" i="41"/>
  <c r="AP285" i="41"/>
  <c r="AQ285" i="41"/>
  <c r="AR285" i="41"/>
  <c r="AS285" i="41"/>
  <c r="AT285" i="41"/>
  <c r="AU285" i="41"/>
  <c r="AV285" i="41"/>
  <c r="AW285" i="41"/>
  <c r="AX285" i="41"/>
  <c r="AY285" i="41"/>
  <c r="AZ285" i="41"/>
  <c r="BA285" i="41"/>
  <c r="BB285" i="41"/>
  <c r="BC285" i="41"/>
  <c r="BD285" i="41"/>
  <c r="BE285" i="41"/>
  <c r="BF285" i="41"/>
  <c r="BG285" i="41"/>
  <c r="BH285" i="41"/>
  <c r="BI285" i="41"/>
  <c r="BJ285" i="41"/>
  <c r="BK285" i="41"/>
  <c r="BL285" i="41"/>
  <c r="BM285" i="41"/>
  <c r="BN285" i="41"/>
  <c r="BO285" i="41"/>
  <c r="BP285" i="41"/>
  <c r="BQ285" i="41"/>
  <c r="BR285" i="41"/>
  <c r="BS285" i="41"/>
  <c r="BT285" i="41"/>
  <c r="BU285" i="41"/>
  <c r="BV285" i="41"/>
  <c r="BW285" i="41"/>
  <c r="BX285" i="41"/>
  <c r="BY285" i="41"/>
  <c r="BZ285" i="41"/>
  <c r="CA285" i="41"/>
  <c r="CB285" i="41"/>
  <c r="CC285" i="41"/>
  <c r="CD285" i="41"/>
  <c r="CE285" i="41"/>
  <c r="CF285" i="41"/>
  <c r="CG285" i="41"/>
  <c r="CH285" i="41"/>
  <c r="CI285" i="41"/>
  <c r="CJ285" i="41"/>
  <c r="CK285" i="41"/>
  <c r="CL285" i="41"/>
  <c r="CM285" i="41"/>
  <c r="CN285" i="41"/>
  <c r="CO285" i="41"/>
  <c r="CP285" i="41"/>
  <c r="CQ285" i="41"/>
  <c r="CR285" i="41"/>
  <c r="CS285" i="41"/>
  <c r="CT285" i="41"/>
  <c r="CU285" i="41"/>
  <c r="CV285" i="41"/>
  <c r="CW285" i="41"/>
  <c r="CX285" i="41"/>
  <c r="CY285" i="41"/>
  <c r="CZ285" i="41"/>
  <c r="DA285" i="41"/>
  <c r="DB285" i="41"/>
  <c r="DC285" i="41"/>
  <c r="DD285" i="41"/>
  <c r="AC286" i="41"/>
  <c r="AD286" i="41"/>
  <c r="AE286" i="41"/>
  <c r="AF286" i="41"/>
  <c r="AG286" i="41"/>
  <c r="AH286" i="41"/>
  <c r="AI286" i="41"/>
  <c r="AJ286" i="41"/>
  <c r="AK286" i="41"/>
  <c r="AL286" i="41"/>
  <c r="AM286" i="41"/>
  <c r="AN286" i="41"/>
  <c r="AO286" i="41"/>
  <c r="AP286" i="41"/>
  <c r="AQ286" i="41"/>
  <c r="AR286" i="41"/>
  <c r="AS286" i="41"/>
  <c r="AT286" i="41"/>
  <c r="AU286" i="41"/>
  <c r="AV286" i="41"/>
  <c r="AW286" i="41"/>
  <c r="AX286" i="41"/>
  <c r="AY286" i="41"/>
  <c r="AZ286" i="41"/>
  <c r="BA286" i="41"/>
  <c r="BB286" i="41"/>
  <c r="BC286" i="41"/>
  <c r="BD286" i="41"/>
  <c r="BE286" i="41"/>
  <c r="BF286" i="41"/>
  <c r="BG286" i="41"/>
  <c r="BH286" i="41"/>
  <c r="BI286" i="41"/>
  <c r="BJ286" i="41"/>
  <c r="BK286" i="41"/>
  <c r="BL286" i="41"/>
  <c r="BM286" i="41"/>
  <c r="BN286" i="41"/>
  <c r="BO286" i="41"/>
  <c r="BP286" i="41"/>
  <c r="BQ286" i="41"/>
  <c r="BR286" i="41"/>
  <c r="BS286" i="41"/>
  <c r="BT286" i="41"/>
  <c r="BU286" i="41"/>
  <c r="BV286" i="41"/>
  <c r="BW286" i="41"/>
  <c r="BX286" i="41"/>
  <c r="BY286" i="41"/>
  <c r="BZ286" i="41"/>
  <c r="CA286" i="41"/>
  <c r="CB286" i="41"/>
  <c r="CC286" i="41"/>
  <c r="CD286" i="41"/>
  <c r="CE286" i="41"/>
  <c r="CF286" i="41"/>
  <c r="CG286" i="41"/>
  <c r="CH286" i="41"/>
  <c r="CI286" i="41"/>
  <c r="CJ286" i="41"/>
  <c r="CK286" i="41"/>
  <c r="CL286" i="41"/>
  <c r="CM286" i="41"/>
  <c r="CN286" i="41"/>
  <c r="CO286" i="41"/>
  <c r="CP286" i="41"/>
  <c r="CQ286" i="41"/>
  <c r="CR286" i="41"/>
  <c r="CS286" i="41"/>
  <c r="CT286" i="41"/>
  <c r="CU286" i="41"/>
  <c r="CV286" i="41"/>
  <c r="CW286" i="41"/>
  <c r="CX286" i="41"/>
  <c r="CY286" i="41"/>
  <c r="CZ286" i="41"/>
  <c r="DA286" i="41"/>
  <c r="DB286" i="41"/>
  <c r="DC286" i="41"/>
  <c r="DD286" i="41"/>
  <c r="AC287" i="41"/>
  <c r="AD287" i="41"/>
  <c r="AE287" i="41"/>
  <c r="AF287" i="41"/>
  <c r="AG287" i="41"/>
  <c r="AH287" i="41"/>
  <c r="AI287" i="41"/>
  <c r="AJ287" i="41"/>
  <c r="AK287" i="41"/>
  <c r="AL287" i="41"/>
  <c r="AM287" i="41"/>
  <c r="AN287" i="41"/>
  <c r="AO287" i="41"/>
  <c r="AP287" i="41"/>
  <c r="AQ287" i="41"/>
  <c r="AR287" i="41"/>
  <c r="AS287" i="41"/>
  <c r="AT287" i="41"/>
  <c r="AU287" i="41"/>
  <c r="AV287" i="41"/>
  <c r="AW287" i="41"/>
  <c r="AX287" i="41"/>
  <c r="AY287" i="41"/>
  <c r="AZ287" i="41"/>
  <c r="BA287" i="41"/>
  <c r="BB287" i="41"/>
  <c r="BC287" i="41"/>
  <c r="BD287" i="41"/>
  <c r="BE287" i="41"/>
  <c r="BF287" i="41"/>
  <c r="BG287" i="41"/>
  <c r="BH287" i="41"/>
  <c r="BI287" i="41"/>
  <c r="BJ287" i="41"/>
  <c r="BK287" i="41"/>
  <c r="BL287" i="41"/>
  <c r="BM287" i="41"/>
  <c r="BN287" i="41"/>
  <c r="BO287" i="41"/>
  <c r="BP287" i="41"/>
  <c r="BQ287" i="41"/>
  <c r="BR287" i="41"/>
  <c r="BS287" i="41"/>
  <c r="BT287" i="41"/>
  <c r="BU287" i="41"/>
  <c r="BV287" i="41"/>
  <c r="BW287" i="41"/>
  <c r="BX287" i="41"/>
  <c r="BY287" i="41"/>
  <c r="BZ287" i="41"/>
  <c r="CA287" i="41"/>
  <c r="CB287" i="41"/>
  <c r="CC287" i="41"/>
  <c r="CD287" i="41"/>
  <c r="CE287" i="41"/>
  <c r="CF287" i="41"/>
  <c r="CG287" i="41"/>
  <c r="CH287" i="41"/>
  <c r="CI287" i="41"/>
  <c r="CJ287" i="41"/>
  <c r="CK287" i="41"/>
  <c r="CL287" i="41"/>
  <c r="CM287" i="41"/>
  <c r="CN287" i="41"/>
  <c r="CO287" i="41"/>
  <c r="CP287" i="41"/>
  <c r="CQ287" i="41"/>
  <c r="CR287" i="41"/>
  <c r="CS287" i="41"/>
  <c r="CT287" i="41"/>
  <c r="CU287" i="41"/>
  <c r="CV287" i="41"/>
  <c r="CW287" i="41"/>
  <c r="CX287" i="41"/>
  <c r="CY287" i="41"/>
  <c r="CZ287" i="41"/>
  <c r="DA287" i="41"/>
  <c r="DB287" i="41"/>
  <c r="DC287" i="41"/>
  <c r="DD287" i="41"/>
  <c r="AC288" i="41"/>
  <c r="AD288" i="41"/>
  <c r="AE288" i="41"/>
  <c r="AF288" i="41"/>
  <c r="AG288" i="41"/>
  <c r="AH288" i="41"/>
  <c r="AI288" i="41"/>
  <c r="AJ288" i="41"/>
  <c r="AK288" i="41"/>
  <c r="AL288" i="41"/>
  <c r="AM288" i="41"/>
  <c r="AN288" i="41"/>
  <c r="AO288" i="41"/>
  <c r="AP288" i="41"/>
  <c r="AQ288" i="41"/>
  <c r="AR288" i="41"/>
  <c r="AS288" i="41"/>
  <c r="AT288" i="41"/>
  <c r="AU288" i="41"/>
  <c r="AV288" i="41"/>
  <c r="AW288" i="41"/>
  <c r="AX288" i="41"/>
  <c r="AY288" i="41"/>
  <c r="AZ288" i="41"/>
  <c r="BA288" i="41"/>
  <c r="BB288" i="41"/>
  <c r="BC288" i="41"/>
  <c r="BD288" i="41"/>
  <c r="BE288" i="41"/>
  <c r="BF288" i="41"/>
  <c r="BG288" i="41"/>
  <c r="BH288" i="41"/>
  <c r="BI288" i="41"/>
  <c r="BJ288" i="41"/>
  <c r="BK288" i="41"/>
  <c r="BL288" i="41"/>
  <c r="BM288" i="41"/>
  <c r="BN288" i="41"/>
  <c r="BO288" i="41"/>
  <c r="BP288" i="41"/>
  <c r="BQ288" i="41"/>
  <c r="BR288" i="41"/>
  <c r="BS288" i="41"/>
  <c r="BT288" i="41"/>
  <c r="BU288" i="41"/>
  <c r="BV288" i="41"/>
  <c r="BW288" i="41"/>
  <c r="BX288" i="41"/>
  <c r="BY288" i="41"/>
  <c r="BZ288" i="41"/>
  <c r="CA288" i="41"/>
  <c r="CB288" i="41"/>
  <c r="CC288" i="41"/>
  <c r="CD288" i="41"/>
  <c r="CE288" i="41"/>
  <c r="CF288" i="41"/>
  <c r="CG288" i="41"/>
  <c r="CH288" i="41"/>
  <c r="CI288" i="41"/>
  <c r="CJ288" i="41"/>
  <c r="CK288" i="41"/>
  <c r="CL288" i="41"/>
  <c r="CM288" i="41"/>
  <c r="CN288" i="41"/>
  <c r="CO288" i="41"/>
  <c r="CP288" i="41"/>
  <c r="CQ288" i="41"/>
  <c r="CR288" i="41"/>
  <c r="CS288" i="41"/>
  <c r="CT288" i="41"/>
  <c r="CU288" i="41"/>
  <c r="CV288" i="41"/>
  <c r="CW288" i="41"/>
  <c r="CX288" i="41"/>
  <c r="CY288" i="41"/>
  <c r="CZ288" i="41"/>
  <c r="DA288" i="41"/>
  <c r="DB288" i="41"/>
  <c r="DC288" i="41"/>
  <c r="DD288" i="41"/>
  <c r="AC289" i="41"/>
  <c r="AD289" i="41"/>
  <c r="AE289" i="41"/>
  <c r="AF289" i="41"/>
  <c r="AG289" i="41"/>
  <c r="AH289" i="41"/>
  <c r="AI289" i="41"/>
  <c r="AJ289" i="41"/>
  <c r="AK289" i="41"/>
  <c r="AL289" i="41"/>
  <c r="AM289" i="41"/>
  <c r="AN289" i="41"/>
  <c r="AO289" i="41"/>
  <c r="AP289" i="41"/>
  <c r="AQ289" i="41"/>
  <c r="AR289" i="41"/>
  <c r="AS289" i="41"/>
  <c r="AT289" i="41"/>
  <c r="AU289" i="41"/>
  <c r="AV289" i="41"/>
  <c r="AW289" i="41"/>
  <c r="AX289" i="41"/>
  <c r="AY289" i="41"/>
  <c r="AZ289" i="41"/>
  <c r="BA289" i="41"/>
  <c r="BB289" i="41"/>
  <c r="BC289" i="41"/>
  <c r="BD289" i="41"/>
  <c r="BE289" i="41"/>
  <c r="BF289" i="41"/>
  <c r="BG289" i="41"/>
  <c r="BH289" i="41"/>
  <c r="BI289" i="41"/>
  <c r="BJ289" i="41"/>
  <c r="BK289" i="41"/>
  <c r="BL289" i="41"/>
  <c r="BM289" i="41"/>
  <c r="BN289" i="41"/>
  <c r="BO289" i="41"/>
  <c r="BP289" i="41"/>
  <c r="BQ289" i="41"/>
  <c r="BR289" i="41"/>
  <c r="BS289" i="41"/>
  <c r="BT289" i="41"/>
  <c r="BU289" i="41"/>
  <c r="BV289" i="41"/>
  <c r="BW289" i="41"/>
  <c r="BX289" i="41"/>
  <c r="BY289" i="41"/>
  <c r="BZ289" i="41"/>
  <c r="CA289" i="41"/>
  <c r="CB289" i="41"/>
  <c r="CC289" i="41"/>
  <c r="CD289" i="41"/>
  <c r="CE289" i="41"/>
  <c r="CF289" i="41"/>
  <c r="CG289" i="41"/>
  <c r="CH289" i="41"/>
  <c r="CI289" i="41"/>
  <c r="CJ289" i="41"/>
  <c r="CK289" i="41"/>
  <c r="CL289" i="41"/>
  <c r="CM289" i="41"/>
  <c r="CN289" i="41"/>
  <c r="CO289" i="41"/>
  <c r="CP289" i="41"/>
  <c r="CQ289" i="41"/>
  <c r="CR289" i="41"/>
  <c r="CS289" i="41"/>
  <c r="CT289" i="41"/>
  <c r="CU289" i="41"/>
  <c r="CV289" i="41"/>
  <c r="CW289" i="41"/>
  <c r="CX289" i="41"/>
  <c r="CY289" i="41"/>
  <c r="CZ289" i="41"/>
  <c r="DA289" i="41"/>
  <c r="DB289" i="41"/>
  <c r="DC289" i="41"/>
  <c r="DD289" i="41"/>
  <c r="AE258" i="41"/>
  <c r="AD258" i="41"/>
  <c r="AF258" i="41"/>
  <c r="AC259" i="41"/>
  <c r="AD259" i="41"/>
  <c r="AE259" i="41"/>
  <c r="AF259" i="41"/>
  <c r="AE260" i="41"/>
  <c r="AC260" i="41"/>
  <c r="AD260" i="41"/>
  <c r="AF260" i="41"/>
  <c r="AC261" i="41"/>
  <c r="AD261" i="41"/>
  <c r="AE261" i="41"/>
  <c r="AF261" i="41"/>
  <c r="AC262" i="41"/>
  <c r="AD262" i="41"/>
  <c r="AE262" i="41"/>
  <c r="AF262" i="41"/>
  <c r="AC263" i="41"/>
  <c r="AD263" i="41"/>
  <c r="AE263" i="41"/>
  <c r="AF263" i="41"/>
  <c r="AC264" i="41"/>
  <c r="AD264" i="41"/>
  <c r="AE264" i="41"/>
  <c r="AF264" i="41"/>
  <c r="AC265" i="41"/>
  <c r="AD265" i="41"/>
  <c r="AE265" i="41"/>
  <c r="AF265" i="41"/>
  <c r="AC266" i="41"/>
  <c r="AD266" i="41"/>
  <c r="AE266" i="41"/>
  <c r="AF266" i="41"/>
  <c r="AC267" i="41"/>
  <c r="AD267" i="41"/>
  <c r="AE267" i="41"/>
  <c r="AF267" i="41"/>
  <c r="AD236" i="41"/>
  <c r="AE236" i="41"/>
  <c r="AF236" i="41"/>
  <c r="AC237" i="41"/>
  <c r="AD237" i="41"/>
  <c r="AE237" i="41"/>
  <c r="AF237" i="41"/>
  <c r="AC238" i="41"/>
  <c r="AD238" i="41"/>
  <c r="AE238" i="41"/>
  <c r="AF238" i="41"/>
  <c r="AC239" i="41"/>
  <c r="AD239" i="41"/>
  <c r="AE239" i="41"/>
  <c r="AF239" i="41"/>
  <c r="AC240" i="41"/>
  <c r="AE240" i="41"/>
  <c r="AD240" i="41"/>
  <c r="AF240" i="41"/>
  <c r="AC241" i="41"/>
  <c r="AE241" i="41"/>
  <c r="AD241" i="41"/>
  <c r="AF241" i="41"/>
  <c r="AC242" i="41"/>
  <c r="AD242" i="41"/>
  <c r="AE242" i="41"/>
  <c r="AF242" i="41"/>
  <c r="AC243" i="41"/>
  <c r="AD243" i="41"/>
  <c r="AE243" i="41"/>
  <c r="AF243" i="41"/>
  <c r="AC244" i="41"/>
  <c r="AD244" i="41"/>
  <c r="AE244" i="41"/>
  <c r="AF244" i="41"/>
  <c r="AC245" i="41"/>
  <c r="AD245" i="41"/>
  <c r="AE245" i="41"/>
  <c r="AF245" i="41"/>
  <c r="B279" i="41"/>
  <c r="B51" i="6"/>
  <c r="B235" i="41" s="1"/>
  <c r="B53" i="6"/>
  <c r="B257" i="41" s="1"/>
  <c r="AE31" i="49"/>
  <c r="AD31" i="49"/>
  <c r="AC31" i="49"/>
  <c r="Z31" i="49"/>
  <c r="Y31" i="49"/>
  <c r="X31" i="49"/>
  <c r="U31" i="49"/>
  <c r="T31" i="49"/>
  <c r="S31" i="49"/>
  <c r="P31" i="49"/>
  <c r="O31" i="49"/>
  <c r="N31" i="49"/>
  <c r="K31" i="49"/>
  <c r="J31" i="49"/>
  <c r="I31" i="49"/>
  <c r="F31" i="49"/>
  <c r="D31" i="49"/>
  <c r="AF30" i="49"/>
  <c r="AA30" i="49"/>
  <c r="V30" i="49"/>
  <c r="Q30" i="49"/>
  <c r="L30" i="49"/>
  <c r="E30" i="49"/>
  <c r="G30" i="49" s="1"/>
  <c r="AF29" i="49"/>
  <c r="AA29" i="49"/>
  <c r="V29" i="49"/>
  <c r="Q29" i="49"/>
  <c r="L29" i="49"/>
  <c r="E29" i="49"/>
  <c r="G29" i="49" s="1"/>
  <c r="AF28" i="49"/>
  <c r="AA28" i="49"/>
  <c r="V28" i="49"/>
  <c r="Q28" i="49"/>
  <c r="L28" i="49"/>
  <c r="G28" i="49"/>
  <c r="AF27" i="49"/>
  <c r="AA27" i="49"/>
  <c r="V27" i="49"/>
  <c r="Q27" i="49"/>
  <c r="L27" i="49"/>
  <c r="E27" i="49"/>
  <c r="G27" i="49" s="1"/>
  <c r="AE25" i="49"/>
  <c r="AC25" i="49"/>
  <c r="Z25" i="49"/>
  <c r="X25" i="49"/>
  <c r="U25" i="49"/>
  <c r="S25" i="49"/>
  <c r="P25" i="49"/>
  <c r="N25" i="49"/>
  <c r="K25" i="49"/>
  <c r="I25" i="49"/>
  <c r="F25" i="49"/>
  <c r="D25" i="49"/>
  <c r="AD24" i="49"/>
  <c r="AF24" i="49" s="1"/>
  <c r="Y24" i="49"/>
  <c r="AA24" i="49" s="1"/>
  <c r="V24" i="49"/>
  <c r="O24" i="49"/>
  <c r="L24" i="49"/>
  <c r="E24" i="49"/>
  <c r="G24" i="49" s="1"/>
  <c r="AD23" i="49"/>
  <c r="AF23" i="49" s="1"/>
  <c r="Y23" i="49"/>
  <c r="AA23" i="49" s="1"/>
  <c r="T23" i="49"/>
  <c r="V23" i="49" s="1"/>
  <c r="O23" i="49"/>
  <c r="Q23" i="49" s="1"/>
  <c r="L23" i="49"/>
  <c r="E23" i="49"/>
  <c r="G23" i="49" s="1"/>
  <c r="AD22" i="49"/>
  <c r="AF22" i="49" s="1"/>
  <c r="Y22" i="49"/>
  <c r="AA22" i="49" s="1"/>
  <c r="T22" i="49"/>
  <c r="V22" i="49" s="1"/>
  <c r="O22" i="49"/>
  <c r="Q22" i="49" s="1"/>
  <c r="L22" i="49"/>
  <c r="E22" i="49"/>
  <c r="G22" i="49" s="1"/>
  <c r="AF21" i="49"/>
  <c r="AA21" i="49"/>
  <c r="V21" i="49"/>
  <c r="O21" i="49"/>
  <c r="Q21" i="49" s="1"/>
  <c r="L21" i="49"/>
  <c r="E21" i="49"/>
  <c r="G21" i="49" s="1"/>
  <c r="AF20" i="49"/>
  <c r="Y20" i="49"/>
  <c r="V20" i="49"/>
  <c r="O20" i="49"/>
  <c r="L20" i="49"/>
  <c r="E20" i="49"/>
  <c r="G20" i="49" s="1"/>
  <c r="AF19" i="49"/>
  <c r="Y19" i="49"/>
  <c r="AA19" i="49" s="1"/>
  <c r="V19" i="49"/>
  <c r="AM19" i="49" s="1"/>
  <c r="O19" i="49"/>
  <c r="L19" i="49"/>
  <c r="E19" i="49"/>
  <c r="AC17" i="49"/>
  <c r="X17" i="49"/>
  <c r="S17" i="49"/>
  <c r="N17" i="49"/>
  <c r="I17" i="49"/>
  <c r="F17" i="49"/>
  <c r="F33" i="49" s="1"/>
  <c r="D17" i="49"/>
  <c r="L16" i="49"/>
  <c r="E16" i="49"/>
  <c r="G16" i="49" s="1"/>
  <c r="G15" i="49"/>
  <c r="L14" i="49"/>
  <c r="E14" i="49"/>
  <c r="G14" i="49" s="1"/>
  <c r="E13" i="49"/>
  <c r="G13" i="49" s="1"/>
  <c r="E11" i="49"/>
  <c r="G11" i="49" s="1"/>
  <c r="L10" i="49"/>
  <c r="E10" i="49"/>
  <c r="G10" i="49" s="1"/>
  <c r="AF9" i="49"/>
  <c r="AA9" i="49"/>
  <c r="V9" i="49"/>
  <c r="Q9" i="49"/>
  <c r="L9" i="49"/>
  <c r="D283" i="41" s="1"/>
  <c r="C55" i="6" s="1"/>
  <c r="E9" i="49"/>
  <c r="G9" i="49" s="1"/>
  <c r="AM21" i="49" l="1"/>
  <c r="AM23" i="49"/>
  <c r="AM27" i="49"/>
  <c r="AM29" i="49"/>
  <c r="AM22" i="49"/>
  <c r="AM28" i="49"/>
  <c r="AM30" i="49"/>
  <c r="AM24" i="49"/>
  <c r="AC283" i="41"/>
  <c r="AM14" i="49"/>
  <c r="V31" i="49"/>
  <c r="D260" i="41" s="1"/>
  <c r="AD290" i="41"/>
  <c r="AE290" i="41"/>
  <c r="AF290" i="41"/>
  <c r="AM9" i="49"/>
  <c r="D33" i="49"/>
  <c r="N33" i="49"/>
  <c r="Q31" i="49"/>
  <c r="D259" i="41" s="1"/>
  <c r="O25" i="49"/>
  <c r="X33" i="49"/>
  <c r="L25" i="49"/>
  <c r="D236" i="41" s="1"/>
  <c r="I33" i="49"/>
  <c r="S33" i="49"/>
  <c r="Y25" i="49"/>
  <c r="AA31" i="49"/>
  <c r="D261" i="41" s="1"/>
  <c r="AC33" i="49"/>
  <c r="Q25" i="49"/>
  <c r="D237" i="41" s="1"/>
  <c r="L31" i="49"/>
  <c r="D258" i="41" s="1"/>
  <c r="AF31" i="49"/>
  <c r="D262" i="41" s="1"/>
  <c r="E25" i="49"/>
  <c r="G25" i="49" s="1"/>
  <c r="I288" i="41"/>
  <c r="I284" i="41"/>
  <c r="I280" i="41"/>
  <c r="I287" i="41"/>
  <c r="I283" i="41"/>
  <c r="I286" i="41"/>
  <c r="I282" i="41"/>
  <c r="I289" i="41"/>
  <c r="I285" i="41"/>
  <c r="I281" i="41"/>
  <c r="I267" i="41"/>
  <c r="I259" i="41"/>
  <c r="I260" i="41"/>
  <c r="I237" i="41"/>
  <c r="I265" i="41"/>
  <c r="I264" i="41"/>
  <c r="I263" i="41"/>
  <c r="I261" i="41"/>
  <c r="I238" i="41"/>
  <c r="I266" i="41"/>
  <c r="I262" i="41"/>
  <c r="I245" i="41"/>
  <c r="I244" i="41"/>
  <c r="I242" i="41"/>
  <c r="I239" i="41"/>
  <c r="I240" i="41"/>
  <c r="I241" i="41"/>
  <c r="I243" i="41"/>
  <c r="E290" i="41"/>
  <c r="G290" i="41"/>
  <c r="F290" i="41"/>
  <c r="AF25" i="49"/>
  <c r="V25" i="49"/>
  <c r="D238" i="41" s="1"/>
  <c r="G17" i="49"/>
  <c r="G31" i="49"/>
  <c r="AM10" i="49"/>
  <c r="E17" i="49"/>
  <c r="J25" i="49"/>
  <c r="T25" i="49"/>
  <c r="AD25" i="49"/>
  <c r="E31" i="49"/>
  <c r="G19" i="49"/>
  <c r="AA20" i="49"/>
  <c r="AA25" i="49" s="1"/>
  <c r="AM20" i="49" l="1"/>
  <c r="AM31" i="49"/>
  <c r="AC258" i="41"/>
  <c r="I258" i="41" s="1"/>
  <c r="C53" i="6"/>
  <c r="AC236" i="41"/>
  <c r="I236" i="41" s="1"/>
  <c r="E33" i="49"/>
  <c r="D239" i="41"/>
  <c r="D240" i="41"/>
  <c r="AM25" i="49"/>
  <c r="G33" i="49"/>
  <c r="C51" i="6" l="1"/>
  <c r="C56" i="6" s="1"/>
  <c r="AC290" i="41"/>
  <c r="D290" i="41"/>
  <c r="AF205" i="41"/>
  <c r="AE205" i="41"/>
  <c r="AD205" i="41"/>
  <c r="AC205" i="41"/>
  <c r="AF204" i="41"/>
  <c r="AE204" i="41"/>
  <c r="AD204" i="41"/>
  <c r="AC204" i="41"/>
  <c r="AF203" i="41"/>
  <c r="AE203" i="41"/>
  <c r="AD203" i="41"/>
  <c r="AF200" i="41"/>
  <c r="AD200" i="41"/>
  <c r="AC200" i="41"/>
  <c r="AF199" i="41"/>
  <c r="AE199" i="41"/>
  <c r="AD199" i="41"/>
  <c r="AF198" i="41"/>
  <c r="AE198" i="41"/>
  <c r="AD198" i="41"/>
  <c r="AF194" i="41"/>
  <c r="AE194" i="41"/>
  <c r="AD194" i="41"/>
  <c r="AC194" i="41"/>
  <c r="AF193" i="41"/>
  <c r="AE193" i="41"/>
  <c r="AD193" i="41"/>
  <c r="AC193" i="41"/>
  <c r="AF192" i="41"/>
  <c r="AE192" i="41"/>
  <c r="AD192" i="41"/>
  <c r="AC192" i="41"/>
  <c r="AF189" i="41"/>
  <c r="AE189" i="41"/>
  <c r="AD189" i="41"/>
  <c r="AC189" i="41"/>
  <c r="AF188" i="41"/>
  <c r="AE188" i="41"/>
  <c r="AD188" i="41"/>
  <c r="AC188" i="41"/>
  <c r="AF187" i="41"/>
  <c r="AE187" i="41"/>
  <c r="AD187" i="41"/>
  <c r="AC187" i="41"/>
  <c r="AF184" i="41"/>
  <c r="AE184" i="41"/>
  <c r="AD184" i="41"/>
  <c r="AC184" i="41"/>
  <c r="AF183" i="41"/>
  <c r="AE183" i="41"/>
  <c r="AD183" i="41"/>
  <c r="AC183" i="41"/>
  <c r="AF182" i="41"/>
  <c r="AE182" i="41"/>
  <c r="AD182" i="41"/>
  <c r="AC182" i="41"/>
  <c r="AF179" i="41"/>
  <c r="AD179" i="41"/>
  <c r="AC179" i="41"/>
  <c r="AF178" i="41"/>
  <c r="AE178" i="41"/>
  <c r="AD178" i="41"/>
  <c r="AF177" i="41"/>
  <c r="AE177" i="41"/>
  <c r="AD177" i="41"/>
  <c r="AF174" i="41"/>
  <c r="AE174" i="41"/>
  <c r="AD174" i="41"/>
  <c r="AC174" i="41"/>
  <c r="AF173" i="41"/>
  <c r="AE173" i="41"/>
  <c r="AD173" i="41"/>
  <c r="AF172" i="41"/>
  <c r="AE172" i="41"/>
  <c r="AD172" i="41"/>
  <c r="AF169" i="41"/>
  <c r="AD169" i="41"/>
  <c r="AC169" i="41"/>
  <c r="AF168" i="41"/>
  <c r="AE168" i="41"/>
  <c r="AD168" i="41"/>
  <c r="AF167" i="41"/>
  <c r="AE167" i="41"/>
  <c r="AD167" i="41"/>
  <c r="AF164" i="41"/>
  <c r="AD164" i="41"/>
  <c r="AC164" i="41"/>
  <c r="AF163" i="41"/>
  <c r="AE163" i="41"/>
  <c r="AD163" i="41"/>
  <c r="AF162" i="41"/>
  <c r="AE162" i="41"/>
  <c r="AD162" i="41"/>
  <c r="AF133" i="41"/>
  <c r="AE133" i="41"/>
  <c r="AD133" i="41"/>
  <c r="AC133" i="41"/>
  <c r="AF132" i="41"/>
  <c r="AE132" i="41"/>
  <c r="AD132" i="41"/>
  <c r="AC132" i="41"/>
  <c r="AF131" i="41"/>
  <c r="AE131" i="41"/>
  <c r="AD131" i="41"/>
  <c r="AC131" i="41"/>
  <c r="AF128" i="41"/>
  <c r="AE128" i="41"/>
  <c r="AD128" i="41"/>
  <c r="AC128" i="41"/>
  <c r="AF127" i="41"/>
  <c r="AE127" i="41"/>
  <c r="AD127" i="41"/>
  <c r="AC127" i="41"/>
  <c r="AF126" i="41"/>
  <c r="AE126" i="41"/>
  <c r="AD126" i="41"/>
  <c r="AF119" i="41"/>
  <c r="AE119" i="41"/>
  <c r="AD119" i="41"/>
  <c r="AC119" i="41"/>
  <c r="AF118" i="41"/>
  <c r="AE118" i="41"/>
  <c r="AD118" i="41"/>
  <c r="AC118" i="41"/>
  <c r="AF117" i="41"/>
  <c r="AE117" i="41"/>
  <c r="AD117" i="41"/>
  <c r="AC117" i="41"/>
  <c r="AF115" i="41"/>
  <c r="AE115" i="41"/>
  <c r="AD115" i="41"/>
  <c r="AC115" i="41"/>
  <c r="AF114" i="41"/>
  <c r="AE114" i="41"/>
  <c r="AD114" i="41"/>
  <c r="AC114" i="41"/>
  <c r="AF113" i="41"/>
  <c r="AE113" i="41"/>
  <c r="AD113" i="41"/>
  <c r="AC113" i="41"/>
  <c r="AF111" i="41"/>
  <c r="AE111" i="41"/>
  <c r="AD111" i="41"/>
  <c r="AC111" i="41"/>
  <c r="AF110" i="41"/>
  <c r="AE110" i="41"/>
  <c r="AD110" i="41"/>
  <c r="AC110" i="41"/>
  <c r="AF109" i="41"/>
  <c r="AE109" i="41"/>
  <c r="AD109" i="41"/>
  <c r="AC109" i="41"/>
  <c r="AF107" i="41"/>
  <c r="AE107" i="41"/>
  <c r="AD107" i="41"/>
  <c r="AC107" i="41"/>
  <c r="AF106" i="41"/>
  <c r="AE106" i="41"/>
  <c r="AD106" i="41"/>
  <c r="AC106" i="41"/>
  <c r="AF105" i="41"/>
  <c r="AE105" i="41"/>
  <c r="AD105" i="41"/>
  <c r="AC105" i="41"/>
  <c r="AF101" i="41"/>
  <c r="AE101" i="41"/>
  <c r="AD101" i="41"/>
  <c r="AC101" i="41"/>
  <c r="AF100" i="41"/>
  <c r="AE100" i="41"/>
  <c r="AD100" i="41"/>
  <c r="AC100" i="41"/>
  <c r="AF99" i="41"/>
  <c r="AE99" i="41"/>
  <c r="AD99" i="41"/>
  <c r="AC99" i="41"/>
  <c r="AF97" i="41"/>
  <c r="AE97" i="41"/>
  <c r="AD97" i="41"/>
  <c r="AC97" i="41"/>
  <c r="AF96" i="41"/>
  <c r="AE96" i="41"/>
  <c r="AD96" i="41"/>
  <c r="AC96" i="41"/>
  <c r="AF95" i="41"/>
  <c r="AE95" i="41"/>
  <c r="AD95" i="41"/>
  <c r="AC95" i="41"/>
  <c r="AF93" i="41"/>
  <c r="AE93" i="41"/>
  <c r="AD93" i="41"/>
  <c r="AC93" i="41"/>
  <c r="AF92" i="41"/>
  <c r="AE92" i="41"/>
  <c r="AD92" i="41"/>
  <c r="AC92" i="41"/>
  <c r="AF91" i="41"/>
  <c r="AE91" i="41"/>
  <c r="AD91" i="41"/>
  <c r="AC91" i="41"/>
  <c r="AF89" i="41"/>
  <c r="AE89" i="41"/>
  <c r="AD89" i="41"/>
  <c r="AC89" i="41"/>
  <c r="AF88" i="41"/>
  <c r="AE88" i="41"/>
  <c r="AD88" i="41"/>
  <c r="AC88" i="41"/>
  <c r="AF87" i="41"/>
  <c r="AE87" i="41"/>
  <c r="AD87" i="41"/>
  <c r="AF83" i="41"/>
  <c r="AE83" i="41"/>
  <c r="AD83" i="41"/>
  <c r="AC83" i="41"/>
  <c r="AF82" i="41"/>
  <c r="AE82" i="41"/>
  <c r="AD82" i="41"/>
  <c r="AC82" i="41"/>
  <c r="AF81" i="41"/>
  <c r="AE81" i="41"/>
  <c r="AD81" i="41"/>
  <c r="AC81" i="41"/>
  <c r="AF79" i="41"/>
  <c r="AE79" i="41"/>
  <c r="AD79" i="41"/>
  <c r="AC79" i="41"/>
  <c r="AF78" i="41"/>
  <c r="AE78" i="41"/>
  <c r="AD78" i="41"/>
  <c r="AC78" i="41"/>
  <c r="AF77" i="41"/>
  <c r="AE77" i="41"/>
  <c r="AD77" i="41"/>
  <c r="AC77" i="41"/>
  <c r="AF75" i="41"/>
  <c r="AE75" i="41"/>
  <c r="AD75" i="41"/>
  <c r="AC75" i="41"/>
  <c r="AF74" i="41"/>
  <c r="AE74" i="41"/>
  <c r="AD74" i="41"/>
  <c r="AC74" i="41"/>
  <c r="AF73" i="41"/>
  <c r="AE73" i="41"/>
  <c r="AD73" i="41"/>
  <c r="AC73" i="41"/>
  <c r="AF71" i="41"/>
  <c r="AE71" i="41"/>
  <c r="AD71" i="41"/>
  <c r="AC71" i="41"/>
  <c r="AF70" i="41"/>
  <c r="AE70" i="41"/>
  <c r="AD70" i="41"/>
  <c r="AC70" i="41"/>
  <c r="AF69" i="41"/>
  <c r="AE69" i="41"/>
  <c r="AD69" i="41"/>
  <c r="AC69" i="41"/>
  <c r="AF64" i="41"/>
  <c r="AE64" i="41"/>
  <c r="AD64" i="41"/>
  <c r="AC64" i="41"/>
  <c r="AF63" i="41"/>
  <c r="AE63" i="41"/>
  <c r="AD63" i="41"/>
  <c r="AC63" i="41"/>
  <c r="AF62" i="41"/>
  <c r="AE62" i="41"/>
  <c r="AD62" i="41"/>
  <c r="AC62" i="41"/>
  <c r="AF60" i="41"/>
  <c r="AE60" i="41"/>
  <c r="AD60" i="41"/>
  <c r="AC60" i="41"/>
  <c r="AF59" i="41"/>
  <c r="AE59" i="41"/>
  <c r="AD59" i="41"/>
  <c r="AC59" i="41"/>
  <c r="AF58" i="41"/>
  <c r="AE58" i="41"/>
  <c r="AD58" i="41"/>
  <c r="AC58" i="41"/>
  <c r="AF56" i="41"/>
  <c r="AE56" i="41"/>
  <c r="AD56" i="41"/>
  <c r="AC56" i="41"/>
  <c r="AF55" i="41"/>
  <c r="AE55" i="41"/>
  <c r="AD55" i="41"/>
  <c r="AC55" i="41"/>
  <c r="AF54" i="41"/>
  <c r="AE54" i="41"/>
  <c r="AD54" i="41"/>
  <c r="AC54" i="41"/>
  <c r="AF52" i="41"/>
  <c r="AE52" i="41"/>
  <c r="AD52" i="41"/>
  <c r="AC52" i="41"/>
  <c r="AF51" i="41"/>
  <c r="AE51" i="41"/>
  <c r="AD51" i="41"/>
  <c r="AC51" i="41"/>
  <c r="AF50" i="41"/>
  <c r="AE50" i="41"/>
  <c r="AD50" i="41"/>
  <c r="AC50" i="41"/>
  <c r="AF46" i="41"/>
  <c r="AE46" i="41"/>
  <c r="K17" i="49" s="1"/>
  <c r="K33" i="49" s="1"/>
  <c r="AD46" i="41"/>
  <c r="AC46" i="41"/>
  <c r="AF45" i="41"/>
  <c r="AE45" i="41"/>
  <c r="AD45" i="41"/>
  <c r="AC45" i="41"/>
  <c r="L12" i="49" s="1"/>
  <c r="AF44" i="41"/>
  <c r="AE44" i="41"/>
  <c r="AD44" i="41"/>
  <c r="AC44" i="41"/>
  <c r="AF42" i="41"/>
  <c r="AE42" i="41"/>
  <c r="AD42" i="41"/>
  <c r="AC42" i="41"/>
  <c r="AF41" i="41"/>
  <c r="AE41" i="41"/>
  <c r="AD41" i="41"/>
  <c r="AC41" i="41"/>
  <c r="AF40" i="41"/>
  <c r="AE40" i="41"/>
  <c r="AD40" i="41"/>
  <c r="AC40" i="41"/>
  <c r="AF38" i="41"/>
  <c r="AE38" i="41"/>
  <c r="AD38" i="41"/>
  <c r="AC38" i="41"/>
  <c r="AF37" i="41"/>
  <c r="AE37" i="41"/>
  <c r="AD37" i="41"/>
  <c r="AC37" i="41"/>
  <c r="AF36" i="41"/>
  <c r="AE36" i="41"/>
  <c r="AD36" i="41"/>
  <c r="AC36" i="41"/>
  <c r="AF34" i="41"/>
  <c r="AE34" i="41"/>
  <c r="AD34" i="41"/>
  <c r="AC34" i="41"/>
  <c r="AF33" i="41"/>
  <c r="AE33" i="41"/>
  <c r="AD33" i="41"/>
  <c r="AC33" i="41"/>
  <c r="AF32" i="41"/>
  <c r="AE32" i="41"/>
  <c r="AD32" i="41"/>
  <c r="AF28" i="41"/>
  <c r="AE28" i="41"/>
  <c r="AD28" i="41"/>
  <c r="AC28" i="41"/>
  <c r="AF27" i="41"/>
  <c r="AE27" i="41"/>
  <c r="AD27" i="41"/>
  <c r="AC27" i="41"/>
  <c r="AF26" i="41"/>
  <c r="AE26" i="41"/>
  <c r="AD26" i="41"/>
  <c r="AC26" i="41"/>
  <c r="AF24" i="41"/>
  <c r="AE24" i="41"/>
  <c r="AD24" i="41"/>
  <c r="AC24" i="41"/>
  <c r="AF23" i="41"/>
  <c r="AE23" i="41"/>
  <c r="AD23" i="41"/>
  <c r="AC23" i="41"/>
  <c r="AF22" i="41"/>
  <c r="AE22" i="41"/>
  <c r="AD22" i="41"/>
  <c r="AC22" i="41"/>
  <c r="AF20" i="41"/>
  <c r="AE20" i="41"/>
  <c r="AD20" i="41"/>
  <c r="AC20" i="41"/>
  <c r="AF19" i="41"/>
  <c r="AE19" i="41"/>
  <c r="AD19" i="41"/>
  <c r="AC19" i="41"/>
  <c r="AF18" i="41"/>
  <c r="AE18" i="41"/>
  <c r="AD18" i="41"/>
  <c r="AC18" i="41"/>
  <c r="AC15" i="41"/>
  <c r="AC16" i="41"/>
  <c r="AD15" i="41"/>
  <c r="AE15" i="41"/>
  <c r="AF15" i="41"/>
  <c r="AD16" i="41"/>
  <c r="AE16" i="41"/>
  <c r="AF16" i="41"/>
  <c r="AF14" i="41"/>
  <c r="AE14" i="41"/>
  <c r="AD14" i="41"/>
  <c r="AF231" i="41" l="1"/>
  <c r="L11" i="49"/>
  <c r="J17" i="49"/>
  <c r="J33" i="49" s="1"/>
  <c r="AD120" i="41"/>
  <c r="AE120" i="41"/>
  <c r="AD231" i="41"/>
  <c r="AF120" i="41"/>
  <c r="D8" i="47"/>
  <c r="D10" i="47" s="1"/>
  <c r="AF292" i="41" l="1"/>
  <c r="L17" i="49"/>
  <c r="L33" i="49" s="1"/>
  <c r="AD292" i="41"/>
  <c r="H6" i="46"/>
  <c r="G6" i="46"/>
  <c r="F6" i="46"/>
  <c r="E6" i="46"/>
  <c r="S6" i="46" l="1"/>
  <c r="G50" i="46"/>
  <c r="S50" i="46" s="1"/>
  <c r="T6" i="46"/>
  <c r="H50" i="46"/>
  <c r="T50" i="46" s="1"/>
  <c r="Q6" i="46"/>
  <c r="E50" i="46"/>
  <c r="Q50" i="46" s="1"/>
  <c r="R6" i="46"/>
  <c r="F50" i="46"/>
  <c r="R50" i="46" s="1"/>
  <c r="U43" i="44" l="1"/>
  <c r="R43" i="44"/>
  <c r="L43" i="44"/>
  <c r="I43" i="44"/>
  <c r="F43" i="44"/>
  <c r="U43" i="33"/>
  <c r="R43" i="33"/>
  <c r="O43" i="33"/>
  <c r="L43" i="33"/>
  <c r="I43" i="33"/>
  <c r="F43" i="33"/>
  <c r="D46" i="33"/>
  <c r="U46" i="44"/>
  <c r="V46" i="44" s="1"/>
  <c r="R46" i="44"/>
  <c r="S46" i="44" s="1"/>
  <c r="O46" i="44"/>
  <c r="P46" i="44" s="1"/>
  <c r="L46" i="44"/>
  <c r="M46" i="44" s="1"/>
  <c r="I46" i="44"/>
  <c r="J46" i="44" s="1"/>
  <c r="F46" i="44"/>
  <c r="G46" i="44" s="1"/>
  <c r="U46" i="33"/>
  <c r="R46" i="33"/>
  <c r="S46" i="33" s="1"/>
  <c r="O46" i="33"/>
  <c r="L46" i="33"/>
  <c r="I46" i="33"/>
  <c r="F46" i="33"/>
  <c r="G46" i="33" s="1"/>
  <c r="D55" i="33"/>
  <c r="D52" i="33"/>
  <c r="D44" i="33"/>
  <c r="D45" i="33"/>
  <c r="D47" i="33"/>
  <c r="D43" i="33"/>
  <c r="I25" i="44"/>
  <c r="L22" i="44"/>
  <c r="O23" i="44"/>
  <c r="R24" i="44"/>
  <c r="J46" i="33" l="1"/>
  <c r="V46" i="33"/>
  <c r="M46" i="33"/>
  <c r="P46" i="33"/>
  <c r="U22" i="44"/>
  <c r="U52" i="44" s="1"/>
  <c r="O10" i="44"/>
  <c r="O20" i="44" s="1"/>
  <c r="O10" i="33"/>
  <c r="X21" i="33"/>
  <c r="U22" i="33"/>
  <c r="AG21" i="44"/>
  <c r="AA21" i="44"/>
  <c r="X21" i="44"/>
  <c r="AD21" i="44" s="1"/>
  <c r="X19" i="44"/>
  <c r="X43" i="44" s="1"/>
  <c r="X15" i="44"/>
  <c r="AG15" i="44" s="1"/>
  <c r="X12" i="44"/>
  <c r="X11" i="44"/>
  <c r="AD11" i="44" s="1"/>
  <c r="X15" i="33"/>
  <c r="AD15" i="33" s="1"/>
  <c r="X12" i="33"/>
  <c r="AA15" i="33"/>
  <c r="AG21" i="33"/>
  <c r="X19" i="33"/>
  <c r="X11" i="33"/>
  <c r="AD11" i="33" s="1"/>
  <c r="X24" i="33"/>
  <c r="R24" i="33"/>
  <c r="O23" i="33"/>
  <c r="L22" i="33"/>
  <c r="I25" i="33"/>
  <c r="AG15" i="33"/>
  <c r="AG11" i="33"/>
  <c r="AA11" i="33"/>
  <c r="U55" i="44"/>
  <c r="U51" i="44"/>
  <c r="U48" i="44"/>
  <c r="U45" i="44"/>
  <c r="U44" i="44"/>
  <c r="R56" i="44"/>
  <c r="R55" i="44"/>
  <c r="R52" i="44"/>
  <c r="R51" i="44"/>
  <c r="R48" i="44"/>
  <c r="R47" i="44"/>
  <c r="R45" i="44"/>
  <c r="R44" i="44"/>
  <c r="O56" i="44"/>
  <c r="O52" i="44"/>
  <c r="O48" i="44"/>
  <c r="O47" i="44"/>
  <c r="O45" i="44"/>
  <c r="L56" i="44"/>
  <c r="L55" i="44"/>
  <c r="L52" i="44"/>
  <c r="L51" i="44"/>
  <c r="L48" i="44"/>
  <c r="L47" i="44"/>
  <c r="L45" i="44"/>
  <c r="L44" i="44"/>
  <c r="I56" i="44"/>
  <c r="I55" i="44"/>
  <c r="I52" i="44"/>
  <c r="I51" i="44"/>
  <c r="I48" i="44"/>
  <c r="I47" i="44"/>
  <c r="I45" i="44"/>
  <c r="I44" i="44"/>
  <c r="D56" i="44"/>
  <c r="D56" i="33" s="1"/>
  <c r="X55" i="44" l="1"/>
  <c r="AG12" i="44"/>
  <c r="AG46" i="44" s="1"/>
  <c r="AH46" i="44" s="1"/>
  <c r="X46" i="44"/>
  <c r="Y46" i="44" s="1"/>
  <c r="AD19" i="33"/>
  <c r="AD43" i="33" s="1"/>
  <c r="X43" i="33"/>
  <c r="AD12" i="33"/>
  <c r="AD46" i="33" s="1"/>
  <c r="AE46" i="33" s="1"/>
  <c r="X46" i="33"/>
  <c r="Y46" i="33" s="1"/>
  <c r="AA12" i="44"/>
  <c r="AA46" i="44" s="1"/>
  <c r="AB46" i="44" s="1"/>
  <c r="O51" i="44"/>
  <c r="O43" i="44"/>
  <c r="AA11" i="44"/>
  <c r="AG11" i="44"/>
  <c r="AG45" i="44" s="1"/>
  <c r="AG12" i="33"/>
  <c r="AG46" i="33" s="1"/>
  <c r="AH46" i="33" s="1"/>
  <c r="U56" i="44"/>
  <c r="X24" i="44"/>
  <c r="AD24" i="44" s="1"/>
  <c r="U47" i="44"/>
  <c r="O44" i="44"/>
  <c r="O55" i="44"/>
  <c r="AD45" i="44"/>
  <c r="AD15" i="44"/>
  <c r="AD12" i="44"/>
  <c r="AA19" i="44"/>
  <c r="AA43" i="44" s="1"/>
  <c r="AG19" i="44"/>
  <c r="AA45" i="44"/>
  <c r="AD19" i="44"/>
  <c r="AA15" i="44"/>
  <c r="X45" i="44"/>
  <c r="X44" i="44"/>
  <c r="X51" i="44"/>
  <c r="AD21" i="33"/>
  <c r="AA19" i="33"/>
  <c r="AA43" i="33" s="1"/>
  <c r="AG19" i="33"/>
  <c r="AG43" i="33" s="1"/>
  <c r="AA21" i="33"/>
  <c r="AA12" i="33"/>
  <c r="AA46" i="33" s="1"/>
  <c r="AB46" i="33" s="1"/>
  <c r="AG24" i="33"/>
  <c r="AA24" i="33"/>
  <c r="AD24" i="33"/>
  <c r="AD51" i="44"/>
  <c r="AG55" i="44"/>
  <c r="DC230" i="41"/>
  <c r="DC229" i="41"/>
  <c r="DC228" i="41"/>
  <c r="DC225" i="41"/>
  <c r="DC224" i="41"/>
  <c r="DC223" i="41"/>
  <c r="DC220" i="41"/>
  <c r="DC219" i="41"/>
  <c r="DC218" i="41"/>
  <c r="DC194" i="41"/>
  <c r="DC189" i="41"/>
  <c r="DC158" i="41"/>
  <c r="DC157" i="41"/>
  <c r="DC156" i="41"/>
  <c r="DC153" i="41"/>
  <c r="DC152" i="41"/>
  <c r="DC151" i="41"/>
  <c r="DC148" i="41"/>
  <c r="DC147" i="41"/>
  <c r="DC146" i="41"/>
  <c r="DC143" i="41"/>
  <c r="DC142" i="41"/>
  <c r="DC141" i="41"/>
  <c r="DC119" i="41"/>
  <c r="DC118" i="41"/>
  <c r="DC117" i="41"/>
  <c r="DC115" i="41"/>
  <c r="DC114" i="41"/>
  <c r="DC113" i="41"/>
  <c r="DC111" i="41"/>
  <c r="DC107" i="41"/>
  <c r="DC101" i="41"/>
  <c r="DC100" i="41"/>
  <c r="DC99" i="41"/>
  <c r="DC95" i="41"/>
  <c r="DC83" i="41"/>
  <c r="DC82" i="41"/>
  <c r="DC81" i="41"/>
  <c r="DC79" i="41"/>
  <c r="DC77" i="41"/>
  <c r="DC71" i="41"/>
  <c r="DC70" i="41"/>
  <c r="DC64" i="41"/>
  <c r="DC63" i="41"/>
  <c r="DC62" i="41"/>
  <c r="DC60" i="41"/>
  <c r="DC59" i="41"/>
  <c r="DC58" i="41"/>
  <c r="DC56" i="41"/>
  <c r="DC52" i="41"/>
  <c r="DC46" i="41"/>
  <c r="DC45" i="41"/>
  <c r="DC44" i="41"/>
  <c r="DC40" i="41"/>
  <c r="DC34" i="41"/>
  <c r="DC33" i="41"/>
  <c r="DC28" i="41"/>
  <c r="DC27" i="41"/>
  <c r="DC26" i="41"/>
  <c r="DC22" i="41"/>
  <c r="DC16" i="41"/>
  <c r="DC15" i="41"/>
  <c r="CY230" i="41"/>
  <c r="CY229" i="41"/>
  <c r="CY228" i="41"/>
  <c r="CY225" i="41"/>
  <c r="CY224" i="41"/>
  <c r="CY223" i="41"/>
  <c r="CY220" i="41"/>
  <c r="CY219" i="41"/>
  <c r="CY218" i="41"/>
  <c r="CY194" i="41"/>
  <c r="CY189" i="41"/>
  <c r="CY158" i="41"/>
  <c r="CY157" i="41"/>
  <c r="CY156" i="41"/>
  <c r="CY153" i="41"/>
  <c r="CY152" i="41"/>
  <c r="CY151" i="41"/>
  <c r="CY148" i="41"/>
  <c r="CY147" i="41"/>
  <c r="CY146" i="41"/>
  <c r="CY143" i="41"/>
  <c r="CY142" i="41"/>
  <c r="CY141" i="41"/>
  <c r="CY119" i="41"/>
  <c r="CY118" i="41"/>
  <c r="CY117" i="41"/>
  <c r="CY115" i="41"/>
  <c r="CY114" i="41"/>
  <c r="CY113" i="41"/>
  <c r="CY111" i="41"/>
  <c r="CY107" i="41"/>
  <c r="CY101" i="41"/>
  <c r="CY100" i="41"/>
  <c r="CY99" i="41"/>
  <c r="CY95" i="41"/>
  <c r="CY83" i="41"/>
  <c r="CY82" i="41"/>
  <c r="CY81" i="41"/>
  <c r="CY79" i="41"/>
  <c r="CY77" i="41"/>
  <c r="CY71" i="41"/>
  <c r="CY70" i="41"/>
  <c r="CY64" i="41"/>
  <c r="CY63" i="41"/>
  <c r="CY62" i="41"/>
  <c r="CY60" i="41"/>
  <c r="CY59" i="41"/>
  <c r="CY58" i="41"/>
  <c r="CY56" i="41"/>
  <c r="CY52" i="41"/>
  <c r="CY46" i="41"/>
  <c r="CY45" i="41"/>
  <c r="CY44" i="41"/>
  <c r="CY40" i="41"/>
  <c r="CY34" i="41"/>
  <c r="CY33" i="41"/>
  <c r="CY28" i="41"/>
  <c r="CY27" i="41"/>
  <c r="CY26" i="41"/>
  <c r="CY22" i="41"/>
  <c r="CY16" i="41"/>
  <c r="CY15" i="41"/>
  <c r="CU230" i="41"/>
  <c r="CU229" i="41"/>
  <c r="CU228" i="41"/>
  <c r="CU225" i="41"/>
  <c r="CU224" i="41"/>
  <c r="CU223" i="41"/>
  <c r="CU220" i="41"/>
  <c r="CU219" i="41"/>
  <c r="CU218" i="41"/>
  <c r="CU194" i="41"/>
  <c r="CU189" i="41"/>
  <c r="CU158" i="41"/>
  <c r="CU157" i="41"/>
  <c r="CU156" i="41"/>
  <c r="CU153" i="41"/>
  <c r="CU152" i="41"/>
  <c r="CU151" i="41"/>
  <c r="CU148" i="41"/>
  <c r="CU147" i="41"/>
  <c r="CU146" i="41"/>
  <c r="CU143" i="41"/>
  <c r="CU142" i="41"/>
  <c r="CU141" i="41"/>
  <c r="CU119" i="41"/>
  <c r="CU118" i="41"/>
  <c r="CU117" i="41"/>
  <c r="CU115" i="41"/>
  <c r="CU114" i="41"/>
  <c r="CU113" i="41"/>
  <c r="CU111" i="41"/>
  <c r="CU107" i="41"/>
  <c r="CU101" i="41"/>
  <c r="CU100" i="41"/>
  <c r="CU99" i="41"/>
  <c r="CU95" i="41"/>
  <c r="CU83" i="41"/>
  <c r="CU82" i="41"/>
  <c r="CU81" i="41"/>
  <c r="CU79" i="41"/>
  <c r="CU77" i="41"/>
  <c r="CU71" i="41"/>
  <c r="CU70" i="41"/>
  <c r="CU64" i="41"/>
  <c r="CU63" i="41"/>
  <c r="CU62" i="41"/>
  <c r="CU60" i="41"/>
  <c r="CU59" i="41"/>
  <c r="CU58" i="41"/>
  <c r="CU56" i="41"/>
  <c r="CU52" i="41"/>
  <c r="CU46" i="41"/>
  <c r="CU45" i="41"/>
  <c r="CU44" i="41"/>
  <c r="CU40" i="41"/>
  <c r="CU34" i="41"/>
  <c r="CU33" i="41"/>
  <c r="CU28" i="41"/>
  <c r="CU27" i="41"/>
  <c r="CU26" i="41"/>
  <c r="CU22" i="41"/>
  <c r="CU16" i="41"/>
  <c r="CU15" i="41"/>
  <c r="CQ230" i="41"/>
  <c r="CQ229" i="41"/>
  <c r="CQ228" i="41"/>
  <c r="CQ225" i="41"/>
  <c r="CQ224" i="41"/>
  <c r="CQ223" i="41"/>
  <c r="CQ220" i="41"/>
  <c r="CQ219" i="41"/>
  <c r="CQ218" i="41"/>
  <c r="CQ194" i="41"/>
  <c r="CQ189" i="41"/>
  <c r="CQ158" i="41"/>
  <c r="CQ157" i="41"/>
  <c r="CQ156" i="41"/>
  <c r="CQ153" i="41"/>
  <c r="CQ152" i="41"/>
  <c r="CQ151" i="41"/>
  <c r="CQ148" i="41"/>
  <c r="CQ147" i="41"/>
  <c r="CQ146" i="41"/>
  <c r="CQ143" i="41"/>
  <c r="CQ142" i="41"/>
  <c r="CQ141" i="41"/>
  <c r="CQ119" i="41"/>
  <c r="CQ118" i="41"/>
  <c r="CQ117" i="41"/>
  <c r="CQ115" i="41"/>
  <c r="CQ114" i="41"/>
  <c r="CQ113" i="41"/>
  <c r="CQ111" i="41"/>
  <c r="CQ107" i="41"/>
  <c r="CQ101" i="41"/>
  <c r="CQ100" i="41"/>
  <c r="CQ99" i="41"/>
  <c r="CQ95" i="41"/>
  <c r="CQ83" i="41"/>
  <c r="CQ82" i="41"/>
  <c r="CQ81" i="41"/>
  <c r="CQ79" i="41"/>
  <c r="CQ77" i="41"/>
  <c r="CQ71" i="41"/>
  <c r="CQ70" i="41"/>
  <c r="CQ64" i="41"/>
  <c r="CQ63" i="41"/>
  <c r="CQ62" i="41"/>
  <c r="CQ60" i="41"/>
  <c r="CQ59" i="41"/>
  <c r="CQ58" i="41"/>
  <c r="CQ56" i="41"/>
  <c r="CQ52" i="41"/>
  <c r="CQ46" i="41"/>
  <c r="CQ45" i="41"/>
  <c r="CQ44" i="41"/>
  <c r="CQ40" i="41"/>
  <c r="CQ34" i="41"/>
  <c r="CQ33" i="41"/>
  <c r="CQ28" i="41"/>
  <c r="CQ27" i="41"/>
  <c r="CQ26" i="41"/>
  <c r="CQ22" i="41"/>
  <c r="CQ16" i="41"/>
  <c r="CQ15" i="41"/>
  <c r="CM230" i="41"/>
  <c r="CM229" i="41"/>
  <c r="CM228" i="41"/>
  <c r="CM225" i="41"/>
  <c r="CM224" i="41"/>
  <c r="CM223" i="41"/>
  <c r="CM220" i="41"/>
  <c r="CM219" i="41"/>
  <c r="CM218" i="41"/>
  <c r="CM194" i="41"/>
  <c r="CM189" i="41"/>
  <c r="CM158" i="41"/>
  <c r="CM157" i="41"/>
  <c r="CM156" i="41"/>
  <c r="CM153" i="41"/>
  <c r="CM152" i="41"/>
  <c r="CM151" i="41"/>
  <c r="CM148" i="41"/>
  <c r="CM147" i="41"/>
  <c r="CM146" i="41"/>
  <c r="CM143" i="41"/>
  <c r="CM142" i="41"/>
  <c r="CM141" i="41"/>
  <c r="CM119" i="41"/>
  <c r="CM118" i="41"/>
  <c r="CM117" i="41"/>
  <c r="CM115" i="41"/>
  <c r="CM114" i="41"/>
  <c r="CM113" i="41"/>
  <c r="CM111" i="41"/>
  <c r="CM107" i="41"/>
  <c r="CM101" i="41"/>
  <c r="CM100" i="41"/>
  <c r="CM99" i="41"/>
  <c r="CM95" i="41"/>
  <c r="CM83" i="41"/>
  <c r="CM82" i="41"/>
  <c r="CM81" i="41"/>
  <c r="CM79" i="41"/>
  <c r="CM77" i="41"/>
  <c r="CM71" i="41"/>
  <c r="CM70" i="41"/>
  <c r="CM64" i="41"/>
  <c r="CM63" i="41"/>
  <c r="CM62" i="41"/>
  <c r="CM60" i="41"/>
  <c r="CM59" i="41"/>
  <c r="CM58" i="41"/>
  <c r="CM56" i="41"/>
  <c r="CM52" i="41"/>
  <c r="CM46" i="41"/>
  <c r="CM45" i="41"/>
  <c r="CM44" i="41"/>
  <c r="CM40" i="41"/>
  <c r="CM34" i="41"/>
  <c r="CM33" i="41"/>
  <c r="CM28" i="41"/>
  <c r="CM27" i="41"/>
  <c r="CM26" i="41"/>
  <c r="CM22" i="41"/>
  <c r="CM16" i="41"/>
  <c r="CM15" i="41"/>
  <c r="CI230" i="41"/>
  <c r="CI229" i="41"/>
  <c r="CI228" i="41"/>
  <c r="CI225" i="41"/>
  <c r="CI224" i="41"/>
  <c r="CI223" i="41"/>
  <c r="CI220" i="41"/>
  <c r="CI219" i="41"/>
  <c r="CI218" i="41"/>
  <c r="CI194" i="41"/>
  <c r="CI189" i="41"/>
  <c r="CI158" i="41"/>
  <c r="CI157" i="41"/>
  <c r="CI156" i="41"/>
  <c r="CI153" i="41"/>
  <c r="CI152" i="41"/>
  <c r="CI151" i="41"/>
  <c r="CI148" i="41"/>
  <c r="CI147" i="41"/>
  <c r="CI146" i="41"/>
  <c r="CI143" i="41"/>
  <c r="CI142" i="41"/>
  <c r="CI141" i="41"/>
  <c r="CI119" i="41"/>
  <c r="CI118" i="41"/>
  <c r="CI117" i="41"/>
  <c r="CI115" i="41"/>
  <c r="CI114" i="41"/>
  <c r="CI113" i="41"/>
  <c r="CI111" i="41"/>
  <c r="CI107" i="41"/>
  <c r="CI101" i="41"/>
  <c r="CI100" i="41"/>
  <c r="CI99" i="41"/>
  <c r="CI95" i="41"/>
  <c r="CI83" i="41"/>
  <c r="CI82" i="41"/>
  <c r="CI81" i="41"/>
  <c r="CI79" i="41"/>
  <c r="CI77" i="41"/>
  <c r="CI71" i="41"/>
  <c r="CI70" i="41"/>
  <c r="CI64" i="41"/>
  <c r="CI63" i="41"/>
  <c r="CI62" i="41"/>
  <c r="CI60" i="41"/>
  <c r="CI59" i="41"/>
  <c r="CI58" i="41"/>
  <c r="CI56" i="41"/>
  <c r="CI52" i="41"/>
  <c r="CI46" i="41"/>
  <c r="CI45" i="41"/>
  <c r="CI44" i="41"/>
  <c r="CI40" i="41"/>
  <c r="CI34" i="41"/>
  <c r="CI33" i="41"/>
  <c r="CI28" i="41"/>
  <c r="CI27" i="41"/>
  <c r="CI26" i="41"/>
  <c r="CI22" i="41"/>
  <c r="CI16" i="41"/>
  <c r="CI15" i="41"/>
  <c r="CE230" i="41"/>
  <c r="CE229" i="41"/>
  <c r="CE228" i="41"/>
  <c r="CE225" i="41"/>
  <c r="CE224" i="41"/>
  <c r="CE223" i="41"/>
  <c r="CE220" i="41"/>
  <c r="CE219" i="41"/>
  <c r="CE218" i="41"/>
  <c r="CE194" i="41"/>
  <c r="CE189" i="41"/>
  <c r="CE158" i="41"/>
  <c r="CE157" i="41"/>
  <c r="CE156" i="41"/>
  <c r="CE153" i="41"/>
  <c r="CE152" i="41"/>
  <c r="CE151" i="41"/>
  <c r="CE148" i="41"/>
  <c r="CE147" i="41"/>
  <c r="CE146" i="41"/>
  <c r="CE143" i="41"/>
  <c r="CE142" i="41"/>
  <c r="CE141" i="41"/>
  <c r="CE119" i="41"/>
  <c r="CE118" i="41"/>
  <c r="CE117" i="41"/>
  <c r="CE115" i="41"/>
  <c r="CE114" i="41"/>
  <c r="CE113" i="41"/>
  <c r="CE111" i="41"/>
  <c r="CE107" i="41"/>
  <c r="CE101" i="41"/>
  <c r="CE100" i="41"/>
  <c r="CE99" i="41"/>
  <c r="CE95" i="41"/>
  <c r="CE83" i="41"/>
  <c r="CE82" i="41"/>
  <c r="CE81" i="41"/>
  <c r="CE79" i="41"/>
  <c r="CE77" i="41"/>
  <c r="CE71" i="41"/>
  <c r="CE70" i="41"/>
  <c r="CE64" i="41"/>
  <c r="CE63" i="41"/>
  <c r="CE62" i="41"/>
  <c r="CE60" i="41"/>
  <c r="CE59" i="41"/>
  <c r="CE58" i="41"/>
  <c r="CE56" i="41"/>
  <c r="CE52" i="41"/>
  <c r="CE46" i="41"/>
  <c r="CE45" i="41"/>
  <c r="CE44" i="41"/>
  <c r="CE40" i="41"/>
  <c r="CE34" i="41"/>
  <c r="CE33" i="41"/>
  <c r="CE28" i="41"/>
  <c r="CE27" i="41"/>
  <c r="CE26" i="41"/>
  <c r="CE22" i="41"/>
  <c r="CE16" i="41"/>
  <c r="CE15" i="41"/>
  <c r="CA230" i="41"/>
  <c r="CA229" i="41"/>
  <c r="CA228" i="41"/>
  <c r="CA225" i="41"/>
  <c r="CA224" i="41"/>
  <c r="CA223" i="41"/>
  <c r="CA220" i="41"/>
  <c r="CA219" i="41"/>
  <c r="CA218" i="41"/>
  <c r="CA194" i="41"/>
  <c r="CA189" i="41"/>
  <c r="CA158" i="41"/>
  <c r="CA157" i="41"/>
  <c r="CA156" i="41"/>
  <c r="CA153" i="41"/>
  <c r="CA152" i="41"/>
  <c r="CA151" i="41"/>
  <c r="CA148" i="41"/>
  <c r="CA147" i="41"/>
  <c r="CA146" i="41"/>
  <c r="CA143" i="41"/>
  <c r="CA142" i="41"/>
  <c r="CA141" i="41"/>
  <c r="CA119" i="41"/>
  <c r="CA118" i="41"/>
  <c r="CA117" i="41"/>
  <c r="CA115" i="41"/>
  <c r="CA114" i="41"/>
  <c r="CA113" i="41"/>
  <c r="CA111" i="41"/>
  <c r="CA107" i="41"/>
  <c r="CA101" i="41"/>
  <c r="CA100" i="41"/>
  <c r="CA99" i="41"/>
  <c r="CA95" i="41"/>
  <c r="CA83" i="41"/>
  <c r="CA82" i="41"/>
  <c r="CA81" i="41"/>
  <c r="CA79" i="41"/>
  <c r="CA77" i="41"/>
  <c r="CA71" i="41"/>
  <c r="CA70" i="41"/>
  <c r="CA64" i="41"/>
  <c r="CA63" i="41"/>
  <c r="CA62" i="41"/>
  <c r="CA60" i="41"/>
  <c r="CA59" i="41"/>
  <c r="CA58" i="41"/>
  <c r="CA56" i="41"/>
  <c r="CA52" i="41"/>
  <c r="CA46" i="41"/>
  <c r="CA45" i="41"/>
  <c r="CA44" i="41"/>
  <c r="CA40" i="41"/>
  <c r="CA34" i="41"/>
  <c r="CA33" i="41"/>
  <c r="CA28" i="41"/>
  <c r="CA27" i="41"/>
  <c r="CA26" i="41"/>
  <c r="CA22" i="41"/>
  <c r="CA16" i="41"/>
  <c r="CA15" i="41"/>
  <c r="BW230" i="41"/>
  <c r="BW229" i="41"/>
  <c r="BW228" i="41"/>
  <c r="BW225" i="41"/>
  <c r="BW224" i="41"/>
  <c r="BW223" i="41"/>
  <c r="BW220" i="41"/>
  <c r="BW219" i="41"/>
  <c r="BW218" i="41"/>
  <c r="BW194" i="41"/>
  <c r="BW189" i="41"/>
  <c r="BW158" i="41"/>
  <c r="BW157" i="41"/>
  <c r="BW156" i="41"/>
  <c r="BW153" i="41"/>
  <c r="BW152" i="41"/>
  <c r="BW151" i="41"/>
  <c r="BW148" i="41"/>
  <c r="BW147" i="41"/>
  <c r="BW146" i="41"/>
  <c r="BW143" i="41"/>
  <c r="BW142" i="41"/>
  <c r="BW141" i="41"/>
  <c r="BW119" i="41"/>
  <c r="BW118" i="41"/>
  <c r="BW117" i="41"/>
  <c r="BW115" i="41"/>
  <c r="BW114" i="41"/>
  <c r="BW113" i="41"/>
  <c r="BW111" i="41"/>
  <c r="BW107" i="41"/>
  <c r="BW101" i="41"/>
  <c r="BW100" i="41"/>
  <c r="BW99" i="41"/>
  <c r="BW95" i="41"/>
  <c r="BW83" i="41"/>
  <c r="BW82" i="41"/>
  <c r="BW81" i="41"/>
  <c r="BW79" i="41"/>
  <c r="BW77" i="41"/>
  <c r="BW71" i="41"/>
  <c r="BW70" i="41"/>
  <c r="BW64" i="41"/>
  <c r="BW63" i="41"/>
  <c r="BW62" i="41"/>
  <c r="BW60" i="41"/>
  <c r="BW59" i="41"/>
  <c r="BW58" i="41"/>
  <c r="BW56" i="41"/>
  <c r="BW52" i="41"/>
  <c r="BW46" i="41"/>
  <c r="BW45" i="41"/>
  <c r="BW44" i="41"/>
  <c r="BW40" i="41"/>
  <c r="BW34" i="41"/>
  <c r="BW33" i="41"/>
  <c r="BW28" i="41"/>
  <c r="BW27" i="41"/>
  <c r="BW26" i="41"/>
  <c r="BW22" i="41"/>
  <c r="BW16" i="41"/>
  <c r="BW15" i="41"/>
  <c r="BS230" i="41"/>
  <c r="BS229" i="41"/>
  <c r="BS228" i="41"/>
  <c r="BS225" i="41"/>
  <c r="BS224" i="41"/>
  <c r="BS223" i="41"/>
  <c r="BS220" i="41"/>
  <c r="BS219" i="41"/>
  <c r="BS218" i="41"/>
  <c r="BS194" i="41"/>
  <c r="BS189" i="41"/>
  <c r="BS158" i="41"/>
  <c r="BS157" i="41"/>
  <c r="BS156" i="41"/>
  <c r="BS153" i="41"/>
  <c r="BS152" i="41"/>
  <c r="BS151" i="41"/>
  <c r="BS148" i="41"/>
  <c r="BS147" i="41"/>
  <c r="BS146" i="41"/>
  <c r="BS143" i="41"/>
  <c r="BS142" i="41"/>
  <c r="BS141" i="41"/>
  <c r="BS119" i="41"/>
  <c r="BS118" i="41"/>
  <c r="BS117" i="41"/>
  <c r="BS115" i="41"/>
  <c r="BS114" i="41"/>
  <c r="BS113" i="41"/>
  <c r="BS111" i="41"/>
  <c r="BS107" i="41"/>
  <c r="BS101" i="41"/>
  <c r="BS100" i="41"/>
  <c r="BS99" i="41"/>
  <c r="BS95" i="41"/>
  <c r="BS83" i="41"/>
  <c r="BS82" i="41"/>
  <c r="BS81" i="41"/>
  <c r="BS79" i="41"/>
  <c r="BS77" i="41"/>
  <c r="BS71" i="41"/>
  <c r="BS70" i="41"/>
  <c r="BS64" i="41"/>
  <c r="BS63" i="41"/>
  <c r="BS62" i="41"/>
  <c r="BS60" i="41"/>
  <c r="BS59" i="41"/>
  <c r="BS58" i="41"/>
  <c r="BS56" i="41"/>
  <c r="BS52" i="41"/>
  <c r="BS46" i="41"/>
  <c r="BS45" i="41"/>
  <c r="BS44" i="41"/>
  <c r="BS40" i="41"/>
  <c r="BS34" i="41"/>
  <c r="BS33" i="41"/>
  <c r="BS28" i="41"/>
  <c r="BS27" i="41"/>
  <c r="BS26" i="41"/>
  <c r="BS22" i="41"/>
  <c r="BS16" i="41"/>
  <c r="BS15" i="41"/>
  <c r="BO230" i="41"/>
  <c r="BO229" i="41"/>
  <c r="BO228" i="41"/>
  <c r="BO225" i="41"/>
  <c r="BO224" i="41"/>
  <c r="BO223" i="41"/>
  <c r="BO220" i="41"/>
  <c r="BO219" i="41"/>
  <c r="BO218" i="41"/>
  <c r="BO194" i="41"/>
  <c r="BO189" i="41"/>
  <c r="BO158" i="41"/>
  <c r="BO157" i="41"/>
  <c r="BO156" i="41"/>
  <c r="BO153" i="41"/>
  <c r="BO152" i="41"/>
  <c r="BO151" i="41"/>
  <c r="BO148" i="41"/>
  <c r="BO147" i="41"/>
  <c r="BO146" i="41"/>
  <c r="BO143" i="41"/>
  <c r="BO142" i="41"/>
  <c r="BO141" i="41"/>
  <c r="BO119" i="41"/>
  <c r="BO118" i="41"/>
  <c r="BO117" i="41"/>
  <c r="BO115" i="41"/>
  <c r="BO114" i="41"/>
  <c r="BO113" i="41"/>
  <c r="BO111" i="41"/>
  <c r="BO107" i="41"/>
  <c r="BO101" i="41"/>
  <c r="BO100" i="41"/>
  <c r="BO99" i="41"/>
  <c r="BO95" i="41"/>
  <c r="BO83" i="41"/>
  <c r="BO82" i="41"/>
  <c r="BO81" i="41"/>
  <c r="BO79" i="41"/>
  <c r="BO77" i="41"/>
  <c r="BO71" i="41"/>
  <c r="BO70" i="41"/>
  <c r="BO64" i="41"/>
  <c r="BO63" i="41"/>
  <c r="BO62" i="41"/>
  <c r="BO60" i="41"/>
  <c r="BO59" i="41"/>
  <c r="BO58" i="41"/>
  <c r="BO56" i="41"/>
  <c r="BO52" i="41"/>
  <c r="BO46" i="41"/>
  <c r="BO45" i="41"/>
  <c r="BO44" i="41"/>
  <c r="BO40" i="41"/>
  <c r="BO34" i="41"/>
  <c r="BO33" i="41"/>
  <c r="BO28" i="41"/>
  <c r="BO27" i="41"/>
  <c r="BO26" i="41"/>
  <c r="BO22" i="41"/>
  <c r="BO16" i="41"/>
  <c r="BO15" i="41"/>
  <c r="BK230" i="41"/>
  <c r="BK229" i="41"/>
  <c r="BK228" i="41"/>
  <c r="BK225" i="41"/>
  <c r="BK224" i="41"/>
  <c r="BK223" i="41"/>
  <c r="BK220" i="41"/>
  <c r="BK219" i="41"/>
  <c r="BK218" i="41"/>
  <c r="BK194" i="41"/>
  <c r="BK189" i="41"/>
  <c r="BK158" i="41"/>
  <c r="BK157" i="41"/>
  <c r="BK156" i="41"/>
  <c r="BK153" i="41"/>
  <c r="BK152" i="41"/>
  <c r="BK151" i="41"/>
  <c r="BK148" i="41"/>
  <c r="BK147" i="41"/>
  <c r="BK146" i="41"/>
  <c r="BK143" i="41"/>
  <c r="BK142" i="41"/>
  <c r="BK141" i="41"/>
  <c r="BK119" i="41"/>
  <c r="BK118" i="41"/>
  <c r="BK117" i="41"/>
  <c r="BK115" i="41"/>
  <c r="BK114" i="41"/>
  <c r="BK113" i="41"/>
  <c r="BK111" i="41"/>
  <c r="BK107" i="41"/>
  <c r="BK101" i="41"/>
  <c r="BK100" i="41"/>
  <c r="BK99" i="41"/>
  <c r="BK95" i="41"/>
  <c r="BK83" i="41"/>
  <c r="BK82" i="41"/>
  <c r="BK81" i="41"/>
  <c r="BK79" i="41"/>
  <c r="BK77" i="41"/>
  <c r="BK71" i="41"/>
  <c r="BK70" i="41"/>
  <c r="BK64" i="41"/>
  <c r="BK63" i="41"/>
  <c r="BK62" i="41"/>
  <c r="BK60" i="41"/>
  <c r="BK59" i="41"/>
  <c r="BK58" i="41"/>
  <c r="BK56" i="41"/>
  <c r="BK52" i="41"/>
  <c r="BK46" i="41"/>
  <c r="BK45" i="41"/>
  <c r="BK44" i="41"/>
  <c r="BK40" i="41"/>
  <c r="BK34" i="41"/>
  <c r="BK33" i="41"/>
  <c r="BK28" i="41"/>
  <c r="BK27" i="41"/>
  <c r="BK26" i="41"/>
  <c r="BK22" i="41"/>
  <c r="BK16" i="41"/>
  <c r="BK15" i="41"/>
  <c r="B233" i="41"/>
  <c r="AD46" i="44" l="1"/>
  <c r="AE46" i="44" s="1"/>
  <c r="AD44" i="44"/>
  <c r="AD43" i="44"/>
  <c r="AG44" i="44"/>
  <c r="AG43" i="44"/>
  <c r="AG51" i="44"/>
  <c r="AD52" i="44"/>
  <c r="AD47" i="44"/>
  <c r="AD56" i="44"/>
  <c r="X56" i="44"/>
  <c r="X47" i="44"/>
  <c r="AA24" i="44"/>
  <c r="AA47" i="44" s="1"/>
  <c r="AG24" i="44"/>
  <c r="X48" i="44"/>
  <c r="X52" i="44"/>
  <c r="AA51" i="44"/>
  <c r="AD48" i="44"/>
  <c r="AA44" i="44"/>
  <c r="AD55" i="44"/>
  <c r="AA55" i="44"/>
  <c r="BG230" i="41"/>
  <c r="BG229" i="41"/>
  <c r="BG228" i="41"/>
  <c r="BG225" i="41"/>
  <c r="BG224" i="41"/>
  <c r="BG223" i="41"/>
  <c r="BG220" i="41"/>
  <c r="BG219" i="41"/>
  <c r="BG218" i="41"/>
  <c r="BG194" i="41"/>
  <c r="BG189" i="41"/>
  <c r="BG158" i="41"/>
  <c r="BG157" i="41"/>
  <c r="BG156" i="41"/>
  <c r="BG153" i="41"/>
  <c r="BG152" i="41"/>
  <c r="BG151" i="41"/>
  <c r="BG148" i="41"/>
  <c r="BG147" i="41"/>
  <c r="BG146" i="41"/>
  <c r="BG143" i="41"/>
  <c r="BG142" i="41"/>
  <c r="BG141" i="41"/>
  <c r="BG119" i="41"/>
  <c r="BG118" i="41"/>
  <c r="BG117" i="41"/>
  <c r="BG115" i="41"/>
  <c r="BG114" i="41"/>
  <c r="BG113" i="41"/>
  <c r="BG111" i="41"/>
  <c r="BG107" i="41"/>
  <c r="BG101" i="41"/>
  <c r="BG100" i="41"/>
  <c r="BG99" i="41"/>
  <c r="BG95" i="41"/>
  <c r="BG83" i="41"/>
  <c r="BG82" i="41"/>
  <c r="BG81" i="41"/>
  <c r="BG79" i="41"/>
  <c r="BG77" i="41"/>
  <c r="BG71" i="41"/>
  <c r="BG70" i="41"/>
  <c r="BG64" i="41"/>
  <c r="BG63" i="41"/>
  <c r="BG62" i="41"/>
  <c r="BG60" i="41"/>
  <c r="BG59" i="41"/>
  <c r="BG58" i="41"/>
  <c r="BG56" i="41"/>
  <c r="BG52" i="41"/>
  <c r="BG46" i="41"/>
  <c r="BG45" i="41"/>
  <c r="BG44" i="41"/>
  <c r="BG40" i="41"/>
  <c r="BG34" i="41"/>
  <c r="BG33" i="41"/>
  <c r="BG28" i="41"/>
  <c r="BG27" i="41"/>
  <c r="BG26" i="41"/>
  <c r="BG22" i="41"/>
  <c r="BG16" i="41"/>
  <c r="BG15" i="41"/>
  <c r="BC230" i="41"/>
  <c r="BC229" i="41"/>
  <c r="BC228" i="41"/>
  <c r="BC225" i="41"/>
  <c r="BC224" i="41"/>
  <c r="BC223" i="41"/>
  <c r="BC220" i="41"/>
  <c r="BC219" i="41"/>
  <c r="BC218" i="41"/>
  <c r="BC194" i="41"/>
  <c r="BC189" i="41"/>
  <c r="BC158" i="41"/>
  <c r="BC157" i="41"/>
  <c r="BC156" i="41"/>
  <c r="BC153" i="41"/>
  <c r="BC152" i="41"/>
  <c r="BC151" i="41"/>
  <c r="BC148" i="41"/>
  <c r="BC147" i="41"/>
  <c r="BC146" i="41"/>
  <c r="BC143" i="41"/>
  <c r="BC142" i="41"/>
  <c r="BC141" i="41"/>
  <c r="BC119" i="41"/>
  <c r="BC118" i="41"/>
  <c r="BC117" i="41"/>
  <c r="BC115" i="41"/>
  <c r="BC114" i="41"/>
  <c r="BC113" i="41"/>
  <c r="BC111" i="41"/>
  <c r="BC107" i="41"/>
  <c r="BC101" i="41"/>
  <c r="BC100" i="41"/>
  <c r="BC99" i="41"/>
  <c r="BC95" i="41"/>
  <c r="BC83" i="41"/>
  <c r="BC82" i="41"/>
  <c r="BC81" i="41"/>
  <c r="BC79" i="41"/>
  <c r="BC77" i="41"/>
  <c r="BC71" i="41"/>
  <c r="BC70" i="41"/>
  <c r="BC64" i="41"/>
  <c r="BC63" i="41"/>
  <c r="BC62" i="41"/>
  <c r="BC60" i="41"/>
  <c r="BC59" i="41"/>
  <c r="BC58" i="41"/>
  <c r="BC56" i="41"/>
  <c r="BC52" i="41"/>
  <c r="BC46" i="41"/>
  <c r="BC45" i="41"/>
  <c r="BC44" i="41"/>
  <c r="BC40" i="41"/>
  <c r="BC34" i="41"/>
  <c r="BC33" i="41"/>
  <c r="BC28" i="41"/>
  <c r="BC27" i="41"/>
  <c r="BC26" i="41"/>
  <c r="BC22" i="41"/>
  <c r="BC16" i="41"/>
  <c r="BC15" i="41"/>
  <c r="AY230" i="41"/>
  <c r="AY229" i="41"/>
  <c r="AY228" i="41"/>
  <c r="AY225" i="41"/>
  <c r="AY224" i="41"/>
  <c r="AY223" i="41"/>
  <c r="AY220" i="41"/>
  <c r="AY219" i="41"/>
  <c r="AY218" i="41"/>
  <c r="AY194" i="41"/>
  <c r="AY189" i="41"/>
  <c r="AY158" i="41"/>
  <c r="AY157" i="41"/>
  <c r="AY156" i="41"/>
  <c r="AY153" i="41"/>
  <c r="AY152" i="41"/>
  <c r="AY151" i="41"/>
  <c r="AY148" i="41"/>
  <c r="AY147" i="41"/>
  <c r="AY146" i="41"/>
  <c r="AY143" i="41"/>
  <c r="AY142" i="41"/>
  <c r="AY141" i="41"/>
  <c r="AY119" i="41"/>
  <c r="AY118" i="41"/>
  <c r="AY117" i="41"/>
  <c r="AY115" i="41"/>
  <c r="AY114" i="41"/>
  <c r="AY113" i="41"/>
  <c r="AY111" i="41"/>
  <c r="AY107" i="41"/>
  <c r="AY101" i="41"/>
  <c r="AY100" i="41"/>
  <c r="AY99" i="41"/>
  <c r="AY95" i="41"/>
  <c r="AY83" i="41"/>
  <c r="AY82" i="41"/>
  <c r="AY81" i="41"/>
  <c r="AY79" i="41"/>
  <c r="AY77" i="41"/>
  <c r="AY71" i="41"/>
  <c r="AY70" i="41"/>
  <c r="AY64" i="41"/>
  <c r="AY63" i="41"/>
  <c r="AY62" i="41"/>
  <c r="AY60" i="41"/>
  <c r="AY59" i="41"/>
  <c r="AY58" i="41"/>
  <c r="AY56" i="41"/>
  <c r="AY52" i="41"/>
  <c r="AY46" i="41"/>
  <c r="AY45" i="41"/>
  <c r="AY44" i="41"/>
  <c r="AY40" i="41"/>
  <c r="AY34" i="41"/>
  <c r="AY33" i="41"/>
  <c r="AY28" i="41"/>
  <c r="AY27" i="41"/>
  <c r="AY26" i="41"/>
  <c r="AY22" i="41"/>
  <c r="AY16" i="41"/>
  <c r="AY15" i="41"/>
  <c r="AU230" i="41"/>
  <c r="AU229" i="41"/>
  <c r="AU228" i="41"/>
  <c r="AU225" i="41"/>
  <c r="AU224" i="41"/>
  <c r="AU223" i="41"/>
  <c r="AU220" i="41"/>
  <c r="AU219" i="41"/>
  <c r="AU218" i="41"/>
  <c r="AU194" i="41"/>
  <c r="AU189" i="41"/>
  <c r="AU158" i="41"/>
  <c r="AU157" i="41"/>
  <c r="AU156" i="41"/>
  <c r="AU153" i="41"/>
  <c r="AU152" i="41"/>
  <c r="AU151" i="41"/>
  <c r="AU148" i="41"/>
  <c r="AU147" i="41"/>
  <c r="AU146" i="41"/>
  <c r="AU143" i="41"/>
  <c r="AU142" i="41"/>
  <c r="AU141" i="41"/>
  <c r="AU119" i="41"/>
  <c r="AU118" i="41"/>
  <c r="AU117" i="41"/>
  <c r="AU115" i="41"/>
  <c r="AU114" i="41"/>
  <c r="AU113" i="41"/>
  <c r="AU111" i="41"/>
  <c r="AU107" i="41"/>
  <c r="AU101" i="41"/>
  <c r="AU100" i="41"/>
  <c r="AU99" i="41"/>
  <c r="AU95" i="41"/>
  <c r="AU83" i="41"/>
  <c r="AU82" i="41"/>
  <c r="AU81" i="41"/>
  <c r="AU79" i="41"/>
  <c r="AU77" i="41"/>
  <c r="AU71" i="41"/>
  <c r="AU70" i="41"/>
  <c r="AU64" i="41"/>
  <c r="AU63" i="41"/>
  <c r="AU62" i="41"/>
  <c r="AU60" i="41"/>
  <c r="AU59" i="41"/>
  <c r="AU58" i="41"/>
  <c r="AU56" i="41"/>
  <c r="AU52" i="41"/>
  <c r="AU46" i="41"/>
  <c r="AU45" i="41"/>
  <c r="AU44" i="41"/>
  <c r="AU40" i="41"/>
  <c r="AU34" i="41"/>
  <c r="AU33" i="41"/>
  <c r="AU28" i="41"/>
  <c r="AU27" i="41"/>
  <c r="AU26" i="41"/>
  <c r="AU22" i="41"/>
  <c r="AU16" i="41"/>
  <c r="AU15" i="41"/>
  <c r="AQ230" i="41"/>
  <c r="AQ229" i="41"/>
  <c r="AQ228" i="41"/>
  <c r="AQ225" i="41"/>
  <c r="AQ224" i="41"/>
  <c r="AQ223" i="41"/>
  <c r="AQ220" i="41"/>
  <c r="AQ219" i="41"/>
  <c r="AQ218" i="41"/>
  <c r="AQ194" i="41"/>
  <c r="AQ189" i="41"/>
  <c r="AQ158" i="41"/>
  <c r="AQ157" i="41"/>
  <c r="AQ156" i="41"/>
  <c r="AQ153" i="41"/>
  <c r="AQ152" i="41"/>
  <c r="AQ151" i="41"/>
  <c r="AQ148" i="41"/>
  <c r="AQ147" i="41"/>
  <c r="AQ146" i="41"/>
  <c r="AQ143" i="41"/>
  <c r="AQ142" i="41"/>
  <c r="AQ141" i="41"/>
  <c r="AQ133" i="41"/>
  <c r="AQ119" i="41"/>
  <c r="AQ118" i="41"/>
  <c r="AQ117" i="41"/>
  <c r="AQ115" i="41"/>
  <c r="AQ114" i="41"/>
  <c r="AQ113" i="41"/>
  <c r="AQ111" i="41"/>
  <c r="AQ107" i="41"/>
  <c r="AQ101" i="41"/>
  <c r="AQ100" i="41"/>
  <c r="AQ99" i="41"/>
  <c r="AQ95" i="41"/>
  <c r="AQ83" i="41"/>
  <c r="AQ82" i="41"/>
  <c r="AQ81" i="41"/>
  <c r="AQ79" i="41"/>
  <c r="AQ77" i="41"/>
  <c r="AQ71" i="41"/>
  <c r="AQ70" i="41"/>
  <c r="AQ64" i="41"/>
  <c r="AQ63" i="41"/>
  <c r="AQ62" i="41"/>
  <c r="AQ60" i="41"/>
  <c r="AQ59" i="41"/>
  <c r="AQ58" i="41"/>
  <c r="AQ56" i="41"/>
  <c r="AQ52" i="41"/>
  <c r="AQ46" i="41"/>
  <c r="AQ45" i="41"/>
  <c r="AQ44" i="41"/>
  <c r="AQ40" i="41"/>
  <c r="AQ34" i="41"/>
  <c r="AQ33" i="41"/>
  <c r="AQ28" i="41"/>
  <c r="AQ27" i="41"/>
  <c r="AQ26" i="41"/>
  <c r="AQ22" i="41"/>
  <c r="AQ16" i="41"/>
  <c r="AQ15" i="41"/>
  <c r="AM133" i="41"/>
  <c r="AM119" i="41"/>
  <c r="AM118" i="41"/>
  <c r="AM117" i="41"/>
  <c r="AM115" i="41"/>
  <c r="AM114" i="41"/>
  <c r="AM113" i="41"/>
  <c r="AM111" i="41"/>
  <c r="AM107" i="41"/>
  <c r="AM101" i="41"/>
  <c r="AM100" i="41"/>
  <c r="AM99" i="41"/>
  <c r="AM95" i="41"/>
  <c r="AM83" i="41"/>
  <c r="AM82" i="41"/>
  <c r="AM81" i="41"/>
  <c r="AM79" i="41"/>
  <c r="AM77" i="41"/>
  <c r="AM71" i="41"/>
  <c r="AM70" i="41"/>
  <c r="AM64" i="41"/>
  <c r="AM63" i="41"/>
  <c r="AM62" i="41"/>
  <c r="AM60" i="41"/>
  <c r="AM59" i="41"/>
  <c r="AM58" i="41"/>
  <c r="AM56" i="41"/>
  <c r="AM52" i="41"/>
  <c r="AM46" i="41"/>
  <c r="AM45" i="41"/>
  <c r="AM44" i="41"/>
  <c r="AM40" i="41"/>
  <c r="AM34" i="41"/>
  <c r="AM33" i="41"/>
  <c r="AM28" i="41"/>
  <c r="AM27" i="41"/>
  <c r="AM26" i="41"/>
  <c r="AM22" i="41"/>
  <c r="AM16" i="41"/>
  <c r="AM15" i="41"/>
  <c r="AI133" i="41"/>
  <c r="AI119" i="41"/>
  <c r="AI118" i="41"/>
  <c r="AI117" i="41"/>
  <c r="AI115" i="41"/>
  <c r="AI114" i="41"/>
  <c r="AI113" i="41"/>
  <c r="AI111" i="41"/>
  <c r="AI107" i="41"/>
  <c r="AI101" i="41"/>
  <c r="AI100" i="41"/>
  <c r="AI99" i="41"/>
  <c r="AI95" i="41"/>
  <c r="AI83" i="41"/>
  <c r="AI82" i="41"/>
  <c r="AI81" i="41"/>
  <c r="AI79" i="41"/>
  <c r="AI77" i="41"/>
  <c r="AI71" i="41"/>
  <c r="AI70" i="41"/>
  <c r="AI64" i="41"/>
  <c r="AI63" i="41"/>
  <c r="AI62" i="41"/>
  <c r="AI60" i="41"/>
  <c r="AI59" i="41"/>
  <c r="AI58" i="41"/>
  <c r="AI56" i="41"/>
  <c r="AI52" i="41"/>
  <c r="AI46" i="41"/>
  <c r="AI45" i="41"/>
  <c r="AI44" i="41"/>
  <c r="AI40" i="41"/>
  <c r="AI34" i="41"/>
  <c r="AI33" i="41"/>
  <c r="AI28" i="41"/>
  <c r="AI27" i="41"/>
  <c r="AI26" i="41"/>
  <c r="AI22" i="41"/>
  <c r="AI16" i="41"/>
  <c r="AI15" i="41"/>
  <c r="I6" i="45"/>
  <c r="H6" i="45"/>
  <c r="G6" i="45"/>
  <c r="F6" i="45"/>
  <c r="AG48" i="44" l="1"/>
  <c r="AG56" i="44"/>
  <c r="AG47" i="44"/>
  <c r="AG52" i="44"/>
  <c r="AA48" i="44"/>
  <c r="AA56" i="44"/>
  <c r="AA52" i="44"/>
  <c r="E8" i="45"/>
  <c r="E9" i="45" s="1"/>
  <c r="E10" i="45" s="1"/>
  <c r="E11" i="45" s="1"/>
  <c r="E12" i="45" s="1"/>
  <c r="E13" i="45" s="1"/>
  <c r="E14" i="45" s="1"/>
  <c r="E15" i="45" s="1"/>
  <c r="E16" i="45" s="1"/>
  <c r="E17" i="45" s="1"/>
  <c r="E18" i="45" s="1"/>
  <c r="E19" i="45" s="1"/>
  <c r="E20" i="45" s="1"/>
  <c r="E21" i="45" s="1"/>
  <c r="E22" i="45" s="1"/>
  <c r="E23" i="45" s="1"/>
  <c r="E24" i="45" s="1"/>
  <c r="E25" i="45" s="1"/>
  <c r="E26" i="45" s="1"/>
  <c r="AC14" i="41" l="1"/>
  <c r="F76" i="16"/>
  <c r="F77" i="16"/>
  <c r="F78" i="16"/>
  <c r="F79" i="16"/>
  <c r="F80" i="16"/>
  <c r="F81" i="16"/>
  <c r="F82" i="16"/>
  <c r="F83" i="16"/>
  <c r="F75" i="16"/>
  <c r="F46" i="16"/>
  <c r="F47" i="16"/>
  <c r="F48" i="16"/>
  <c r="F49" i="16"/>
  <c r="F50" i="16"/>
  <c r="F51" i="16"/>
  <c r="F52" i="16"/>
  <c r="F53" i="16"/>
  <c r="F54" i="16"/>
  <c r="F45" i="16"/>
  <c r="F114" i="16"/>
  <c r="F113" i="16"/>
  <c r="F112" i="16"/>
  <c r="F111" i="16"/>
  <c r="F110" i="16"/>
  <c r="F109" i="16"/>
  <c r="F108" i="16"/>
  <c r="F107" i="16"/>
  <c r="F106" i="16"/>
  <c r="F17" i="1"/>
  <c r="F16" i="1"/>
  <c r="F15" i="1"/>
  <c r="F14" i="1"/>
  <c r="F13" i="1"/>
  <c r="F105" i="16" l="1"/>
  <c r="D65" i="33"/>
  <c r="D62" i="44"/>
  <c r="C62" i="44"/>
  <c r="D61" i="44"/>
  <c r="C61" i="44"/>
  <c r="AH56" i="44"/>
  <c r="AE56" i="44"/>
  <c r="AB56" i="44"/>
  <c r="Y56" i="44"/>
  <c r="V56" i="44"/>
  <c r="S56" i="44"/>
  <c r="P56" i="44"/>
  <c r="M56" i="44"/>
  <c r="J56" i="44"/>
  <c r="F56" i="44"/>
  <c r="G56" i="44" s="1"/>
  <c r="AH55" i="44"/>
  <c r="AE55" i="44"/>
  <c r="AB55" i="44"/>
  <c r="Y55" i="44"/>
  <c r="V55" i="44"/>
  <c r="S55" i="44"/>
  <c r="P55" i="44"/>
  <c r="M55" i="44"/>
  <c r="J55" i="44"/>
  <c r="F55" i="44"/>
  <c r="G55" i="44" s="1"/>
  <c r="AH52" i="44"/>
  <c r="AE52" i="44"/>
  <c r="AB52" i="44"/>
  <c r="Y52" i="44"/>
  <c r="V52" i="44"/>
  <c r="S52" i="44"/>
  <c r="P52" i="44"/>
  <c r="M52" i="44"/>
  <c r="J52" i="44"/>
  <c r="F52" i="44"/>
  <c r="G52" i="44" s="1"/>
  <c r="F51" i="44"/>
  <c r="AH48" i="44"/>
  <c r="AE48" i="44"/>
  <c r="AB48" i="44"/>
  <c r="Y48" i="44"/>
  <c r="V48" i="44"/>
  <c r="S48" i="44"/>
  <c r="P48" i="44"/>
  <c r="M48" i="44"/>
  <c r="J48" i="44"/>
  <c r="F48" i="44"/>
  <c r="G48" i="44" s="1"/>
  <c r="AH47" i="44"/>
  <c r="AE47" i="44"/>
  <c r="AB47" i="44"/>
  <c r="Y47" i="44"/>
  <c r="V47" i="44"/>
  <c r="S47" i="44"/>
  <c r="P47" i="44"/>
  <c r="M47" i="44"/>
  <c r="J47" i="44"/>
  <c r="F47" i="44"/>
  <c r="G47" i="44" s="1"/>
  <c r="AH45" i="44"/>
  <c r="AE45" i="44"/>
  <c r="AB45" i="44"/>
  <c r="Y45" i="44"/>
  <c r="V45" i="44"/>
  <c r="S45" i="44"/>
  <c r="P45" i="44"/>
  <c r="M45" i="44"/>
  <c r="J45" i="44"/>
  <c r="F45" i="44"/>
  <c r="G45" i="44" s="1"/>
  <c r="AH44" i="44"/>
  <c r="AE44" i="44"/>
  <c r="AB44" i="44"/>
  <c r="Y44" i="44"/>
  <c r="V44" i="44"/>
  <c r="S44" i="44"/>
  <c r="P44" i="44"/>
  <c r="M44" i="44"/>
  <c r="J44" i="44"/>
  <c r="F44" i="44"/>
  <c r="G44" i="44" s="1"/>
  <c r="AH43" i="44"/>
  <c r="AE43" i="44"/>
  <c r="AB43" i="44"/>
  <c r="Y43" i="44"/>
  <c r="V43" i="44"/>
  <c r="S43" i="44"/>
  <c r="P43" i="44"/>
  <c r="M43" i="44"/>
  <c r="J43" i="44"/>
  <c r="G43" i="44"/>
  <c r="D38" i="44"/>
  <c r="C38" i="44"/>
  <c r="D37" i="44"/>
  <c r="C37" i="44"/>
  <c r="D36" i="44"/>
  <c r="C36" i="44"/>
  <c r="D35" i="44"/>
  <c r="C35" i="44"/>
  <c r="C34" i="44"/>
  <c r="D32" i="44"/>
  <c r="C32" i="44"/>
  <c r="AN30" i="44"/>
  <c r="AM30" i="44"/>
  <c r="AL30" i="44"/>
  <c r="D30" i="44"/>
  <c r="C30" i="44"/>
  <c r="AK27" i="44"/>
  <c r="AK28" i="44" s="1"/>
  <c r="AN26" i="44"/>
  <c r="AM26" i="44"/>
  <c r="AL26" i="44"/>
  <c r="AK26" i="44"/>
  <c r="AN25" i="44"/>
  <c r="AM25" i="44"/>
  <c r="AL25" i="44"/>
  <c r="D25" i="44"/>
  <c r="J25" i="44" s="1"/>
  <c r="C25" i="44"/>
  <c r="B25" i="44"/>
  <c r="AN24" i="44"/>
  <c r="AM24" i="44"/>
  <c r="AL24" i="44"/>
  <c r="D24" i="44"/>
  <c r="C24" i="44"/>
  <c r="B24" i="44"/>
  <c r="AK23" i="44"/>
  <c r="AN23" i="44" s="1"/>
  <c r="AN27" i="44" s="1"/>
  <c r="AN28" i="44" s="1"/>
  <c r="D23" i="44"/>
  <c r="P23" i="44" s="1"/>
  <c r="C23" i="44"/>
  <c r="B23" i="44"/>
  <c r="D22" i="44"/>
  <c r="V22" i="44" s="1"/>
  <c r="C22" i="44"/>
  <c r="B22" i="44"/>
  <c r="D21" i="44"/>
  <c r="C21" i="44"/>
  <c r="B21" i="44"/>
  <c r="D20" i="44"/>
  <c r="C20" i="44"/>
  <c r="B20" i="44"/>
  <c r="D19" i="44"/>
  <c r="C19" i="44"/>
  <c r="B19" i="44"/>
  <c r="D18" i="44"/>
  <c r="C18" i="44"/>
  <c r="B18" i="44"/>
  <c r="D17" i="44"/>
  <c r="C17" i="44"/>
  <c r="B17" i="44"/>
  <c r="D16" i="44"/>
  <c r="J16" i="44" s="1"/>
  <c r="C16" i="44"/>
  <c r="B16" i="44"/>
  <c r="D15" i="44"/>
  <c r="C15" i="44"/>
  <c r="B15" i="44"/>
  <c r="D14" i="44"/>
  <c r="C14" i="44"/>
  <c r="B14" i="44"/>
  <c r="D13" i="44"/>
  <c r="V13" i="44" s="1"/>
  <c r="C13" i="44"/>
  <c r="B13" i="44"/>
  <c r="D12" i="44"/>
  <c r="C12" i="44"/>
  <c r="B12" i="44"/>
  <c r="D11" i="44"/>
  <c r="G11" i="44" s="1"/>
  <c r="C11" i="44"/>
  <c r="B11" i="44"/>
  <c r="AL23" i="44" l="1"/>
  <c r="AM23" i="44"/>
  <c r="AM27" i="44" s="1"/>
  <c r="AM28" i="44" s="1"/>
  <c r="D51" i="44"/>
  <c r="D51" i="33" s="1"/>
  <c r="J17" i="44"/>
  <c r="Y15" i="44"/>
  <c r="AH15" i="44"/>
  <c r="AB15" i="44"/>
  <c r="AE15" i="44"/>
  <c r="V21" i="44"/>
  <c r="AE21" i="44"/>
  <c r="AB21" i="44"/>
  <c r="AH21" i="44"/>
  <c r="Y21" i="44"/>
  <c r="S24" i="44"/>
  <c r="Y24" i="44"/>
  <c r="AE24" i="44"/>
  <c r="AH24" i="44"/>
  <c r="AB24" i="44"/>
  <c r="S19" i="44"/>
  <c r="V19" i="44"/>
  <c r="Y19" i="44"/>
  <c r="AB19" i="44"/>
  <c r="AE19" i="44"/>
  <c r="AH19" i="44"/>
  <c r="V11" i="44"/>
  <c r="AH11" i="44"/>
  <c r="AB11" i="44"/>
  <c r="AE11" i="44"/>
  <c r="Y11" i="44"/>
  <c r="V12" i="44"/>
  <c r="Y12" i="44"/>
  <c r="AB12" i="44"/>
  <c r="AH12" i="44"/>
  <c r="AE12" i="44"/>
  <c r="J12" i="44"/>
  <c r="P20" i="44"/>
  <c r="S12" i="44"/>
  <c r="S15" i="44"/>
  <c r="G19" i="44"/>
  <c r="G12" i="44"/>
  <c r="M13" i="44"/>
  <c r="M12" i="44"/>
  <c r="AL27" i="44"/>
  <c r="AL28" i="44" s="1"/>
  <c r="P14" i="44"/>
  <c r="P12" i="44"/>
  <c r="M19" i="44"/>
  <c r="J19" i="44"/>
  <c r="P51" i="44"/>
  <c r="P57" i="44" s="1"/>
  <c r="M22" i="44"/>
  <c r="G17" i="44"/>
  <c r="G21" i="44"/>
  <c r="AN26" i="33"/>
  <c r="AM26" i="33"/>
  <c r="AL26" i="33"/>
  <c r="AL24" i="33"/>
  <c r="AM24" i="33"/>
  <c r="AN24" i="33"/>
  <c r="AL25" i="33"/>
  <c r="AM25" i="33"/>
  <c r="AN25" i="33"/>
  <c r="AM30" i="33"/>
  <c r="AN30" i="33"/>
  <c r="AL30" i="33"/>
  <c r="AK27" i="33"/>
  <c r="AK28" i="33" s="1"/>
  <c r="AK26" i="33"/>
  <c r="AK23" i="33"/>
  <c r="AM23" i="33" s="1"/>
  <c r="R17" i="11"/>
  <c r="AG56" i="33"/>
  <c r="AH56" i="33" s="1"/>
  <c r="AG55" i="33"/>
  <c r="AH55" i="33" s="1"/>
  <c r="AG52" i="33"/>
  <c r="AH52" i="33" s="1"/>
  <c r="AG51" i="33"/>
  <c r="AG48" i="33"/>
  <c r="AH48" i="33" s="1"/>
  <c r="AG47" i="33"/>
  <c r="AH47" i="33" s="1"/>
  <c r="AG45" i="33"/>
  <c r="AH45" i="33" s="1"/>
  <c r="AG44" i="33"/>
  <c r="AH44" i="33" s="1"/>
  <c r="AH43" i="33"/>
  <c r="AD56" i="33"/>
  <c r="AE56" i="33" s="1"/>
  <c r="AD55" i="33"/>
  <c r="AE55" i="33" s="1"/>
  <c r="AD52" i="33"/>
  <c r="AE52" i="33" s="1"/>
  <c r="AD51" i="33"/>
  <c r="AD48" i="33"/>
  <c r="AE48" i="33" s="1"/>
  <c r="AD47" i="33"/>
  <c r="AE47" i="33" s="1"/>
  <c r="AD45" i="33"/>
  <c r="AE45" i="33" s="1"/>
  <c r="AD44" i="33"/>
  <c r="AE44" i="33" s="1"/>
  <c r="AE43" i="33"/>
  <c r="AA56" i="33"/>
  <c r="AB56" i="33" s="1"/>
  <c r="AA55" i="33"/>
  <c r="AB55" i="33" s="1"/>
  <c r="AA52" i="33"/>
  <c r="AB52" i="33" s="1"/>
  <c r="AA51" i="33"/>
  <c r="AA48" i="33"/>
  <c r="AB48" i="33" s="1"/>
  <c r="AA47" i="33"/>
  <c r="AB47" i="33" s="1"/>
  <c r="AA45" i="33"/>
  <c r="AB45" i="33" s="1"/>
  <c r="AA44" i="33"/>
  <c r="AB44" i="33" s="1"/>
  <c r="AB43" i="33"/>
  <c r="X56" i="33"/>
  <c r="Y56" i="33" s="1"/>
  <c r="X55" i="33"/>
  <c r="Y55" i="33" s="1"/>
  <c r="X52" i="33"/>
  <c r="Y52" i="33" s="1"/>
  <c r="X51" i="33"/>
  <c r="X48" i="33"/>
  <c r="Y48" i="33" s="1"/>
  <c r="X47" i="33"/>
  <c r="Y47" i="33" s="1"/>
  <c r="X45" i="33"/>
  <c r="Y45" i="33" s="1"/>
  <c r="X44" i="33"/>
  <c r="Y44" i="33" s="1"/>
  <c r="Y43" i="33"/>
  <c r="AN23" i="33" l="1"/>
  <c r="S27" i="44"/>
  <c r="S28" i="44" s="1"/>
  <c r="S29" i="44" s="1"/>
  <c r="S51" i="44"/>
  <c r="S57" i="44" s="1"/>
  <c r="AE27" i="44"/>
  <c r="AE28" i="44" s="1"/>
  <c r="AE29" i="44" s="1"/>
  <c r="G27" i="44"/>
  <c r="G28" i="44" s="1"/>
  <c r="G29" i="44" s="1"/>
  <c r="Y27" i="44"/>
  <c r="Y28" i="44" s="1"/>
  <c r="Y29" i="44" s="1"/>
  <c r="AE51" i="44"/>
  <c r="AE57" i="44" s="1"/>
  <c r="AH27" i="44"/>
  <c r="AH28" i="44" s="1"/>
  <c r="AB27" i="44"/>
  <c r="AB28" i="44" s="1"/>
  <c r="AB29" i="44" s="1"/>
  <c r="J27" i="44"/>
  <c r="J28" i="44" s="1"/>
  <c r="J29" i="44" s="1"/>
  <c r="V27" i="44"/>
  <c r="V28" i="44" s="1"/>
  <c r="V29" i="44" s="1"/>
  <c r="M27" i="44"/>
  <c r="M28" i="44" s="1"/>
  <c r="M51" i="44"/>
  <c r="M57" i="44" s="1"/>
  <c r="Y51" i="44"/>
  <c r="Y57" i="44" s="1"/>
  <c r="G51" i="44"/>
  <c r="G57" i="44" s="1"/>
  <c r="J51" i="44"/>
  <c r="J57" i="44" s="1"/>
  <c r="P27" i="44"/>
  <c r="AB51" i="44"/>
  <c r="AB57" i="44" s="1"/>
  <c r="V51" i="44"/>
  <c r="V57" i="44" s="1"/>
  <c r="AH51" i="44"/>
  <c r="AH57" i="44" s="1"/>
  <c r="AL23" i="33"/>
  <c r="AL27" i="33" s="1"/>
  <c r="AL28" i="33" s="1"/>
  <c r="AN27" i="33"/>
  <c r="AN28" i="33" s="1"/>
  <c r="AM27" i="33"/>
  <c r="AM28" i="33" s="1"/>
  <c r="AH29" i="44" l="1"/>
  <c r="AH30" i="44" s="1"/>
  <c r="AH31" i="44" s="1"/>
  <c r="M29" i="44"/>
  <c r="M30" i="44" s="1"/>
  <c r="M31" i="44" s="1"/>
  <c r="AB30" i="44"/>
  <c r="AB31" i="44" s="1"/>
  <c r="J30" i="44"/>
  <c r="J31" i="44" s="1"/>
  <c r="Y30" i="44"/>
  <c r="Y31" i="44" s="1"/>
  <c r="AE30" i="44"/>
  <c r="AE31" i="44" s="1"/>
  <c r="G30" i="44"/>
  <c r="G31" i="44" s="1"/>
  <c r="S30" i="44"/>
  <c r="S31" i="44" s="1"/>
  <c r="V30" i="44"/>
  <c r="V31" i="44" s="1"/>
  <c r="P28" i="44"/>
  <c r="P29" i="44" s="1"/>
  <c r="DD230" i="41"/>
  <c r="DB230" i="41"/>
  <c r="DA230" i="41"/>
  <c r="CZ230" i="41"/>
  <c r="CX230" i="41"/>
  <c r="CW230" i="41"/>
  <c r="CV230" i="41"/>
  <c r="CT230" i="41"/>
  <c r="CS230" i="41"/>
  <c r="CR230" i="41"/>
  <c r="CP230" i="41"/>
  <c r="CO230" i="41"/>
  <c r="CN230" i="41"/>
  <c r="CL230" i="41"/>
  <c r="CK230" i="41"/>
  <c r="CJ230" i="41"/>
  <c r="CH230" i="41"/>
  <c r="CG230" i="41"/>
  <c r="CF230" i="41"/>
  <c r="CD230" i="41"/>
  <c r="CC230" i="41"/>
  <c r="CB230" i="41"/>
  <c r="BZ230" i="41"/>
  <c r="BY230" i="41"/>
  <c r="BX230" i="41"/>
  <c r="BV230" i="41"/>
  <c r="BU230" i="41"/>
  <c r="BT230" i="41"/>
  <c r="BR230" i="41"/>
  <c r="BQ230" i="41"/>
  <c r="BP230" i="41"/>
  <c r="BN230" i="41"/>
  <c r="BM230" i="41"/>
  <c r="BL230" i="41"/>
  <c r="BJ230" i="41"/>
  <c r="BI230" i="41"/>
  <c r="BH230" i="41"/>
  <c r="BF230" i="41"/>
  <c r="BE230" i="41"/>
  <c r="BD230" i="41"/>
  <c r="BB230" i="41"/>
  <c r="BA230" i="41"/>
  <c r="AZ230" i="41"/>
  <c r="AX230" i="41"/>
  <c r="AW230" i="41"/>
  <c r="AV230" i="41"/>
  <c r="AT230" i="41"/>
  <c r="AS230" i="41"/>
  <c r="AR230" i="41"/>
  <c r="AP230" i="41"/>
  <c r="AO230" i="41"/>
  <c r="DD229" i="41"/>
  <c r="DB229" i="41"/>
  <c r="DA229" i="41"/>
  <c r="CZ229" i="41"/>
  <c r="CX229" i="41"/>
  <c r="CW229" i="41"/>
  <c r="CV229" i="41"/>
  <c r="CT229" i="41"/>
  <c r="CS229" i="41"/>
  <c r="CR229" i="41"/>
  <c r="CP229" i="41"/>
  <c r="CO229" i="41"/>
  <c r="CN229" i="41"/>
  <c r="CL229" i="41"/>
  <c r="CK229" i="41"/>
  <c r="CJ229" i="41"/>
  <c r="CH229" i="41"/>
  <c r="CG229" i="41"/>
  <c r="CF229" i="41"/>
  <c r="CD229" i="41"/>
  <c r="CC229" i="41"/>
  <c r="CB229" i="41"/>
  <c r="BZ229" i="41"/>
  <c r="BY229" i="41"/>
  <c r="BX229" i="41"/>
  <c r="BV229" i="41"/>
  <c r="BU229" i="41"/>
  <c r="BT229" i="41"/>
  <c r="BR229" i="41"/>
  <c r="BQ229" i="41"/>
  <c r="BP229" i="41"/>
  <c r="BN229" i="41"/>
  <c r="BM229" i="41"/>
  <c r="BL229" i="41"/>
  <c r="BJ229" i="41"/>
  <c r="BI229" i="41"/>
  <c r="BH229" i="41"/>
  <c r="BF229" i="41"/>
  <c r="BE229" i="41"/>
  <c r="BD229" i="41"/>
  <c r="BB229" i="41"/>
  <c r="BA229" i="41"/>
  <c r="AZ229" i="41"/>
  <c r="AX229" i="41"/>
  <c r="AW229" i="41"/>
  <c r="AV229" i="41"/>
  <c r="AT229" i="41"/>
  <c r="AS229" i="41"/>
  <c r="AR229" i="41"/>
  <c r="AP229" i="41"/>
  <c r="AO229" i="41"/>
  <c r="DD228" i="41"/>
  <c r="DB228" i="41"/>
  <c r="DA228" i="41"/>
  <c r="CZ228" i="41"/>
  <c r="CX228" i="41"/>
  <c r="CW228" i="41"/>
  <c r="CV228" i="41"/>
  <c r="CT228" i="41"/>
  <c r="CS228" i="41"/>
  <c r="CR228" i="41"/>
  <c r="CP228" i="41"/>
  <c r="CO228" i="41"/>
  <c r="CN228" i="41"/>
  <c r="CL228" i="41"/>
  <c r="CK228" i="41"/>
  <c r="CJ228" i="41"/>
  <c r="CH228" i="41"/>
  <c r="CG228" i="41"/>
  <c r="CF228" i="41"/>
  <c r="CD228" i="41"/>
  <c r="CC228" i="41"/>
  <c r="CB228" i="41"/>
  <c r="BZ228" i="41"/>
  <c r="BY228" i="41"/>
  <c r="BX228" i="41"/>
  <c r="BV228" i="41"/>
  <c r="BU228" i="41"/>
  <c r="BT228" i="41"/>
  <c r="BR228" i="41"/>
  <c r="BQ228" i="41"/>
  <c r="BP228" i="41"/>
  <c r="BN228" i="41"/>
  <c r="BM228" i="41"/>
  <c r="BL228" i="41"/>
  <c r="BJ228" i="41"/>
  <c r="BI228" i="41"/>
  <c r="BH228" i="41"/>
  <c r="BF228" i="41"/>
  <c r="BE228" i="41"/>
  <c r="BD228" i="41"/>
  <c r="BB228" i="41"/>
  <c r="BA228" i="41"/>
  <c r="AZ228" i="41"/>
  <c r="AX228" i="41"/>
  <c r="AW228" i="41"/>
  <c r="AV228" i="41"/>
  <c r="AT228" i="41"/>
  <c r="AS228" i="41"/>
  <c r="AR228" i="41"/>
  <c r="AP228" i="41"/>
  <c r="AO228" i="41"/>
  <c r="DD225" i="41"/>
  <c r="DB225" i="41"/>
  <c r="DA225" i="41"/>
  <c r="CZ225" i="41"/>
  <c r="CX225" i="41"/>
  <c r="CW225" i="41"/>
  <c r="CV225" i="41"/>
  <c r="CT225" i="41"/>
  <c r="CS225" i="41"/>
  <c r="CR225" i="41"/>
  <c r="CP225" i="41"/>
  <c r="CO225" i="41"/>
  <c r="CN225" i="41"/>
  <c r="CL225" i="41"/>
  <c r="CK225" i="41"/>
  <c r="CJ225" i="41"/>
  <c r="CH225" i="41"/>
  <c r="CG225" i="41"/>
  <c r="CF225" i="41"/>
  <c r="CD225" i="41"/>
  <c r="CC225" i="41"/>
  <c r="CB225" i="41"/>
  <c r="BZ225" i="41"/>
  <c r="BY225" i="41"/>
  <c r="BX225" i="41"/>
  <c r="BV225" i="41"/>
  <c r="BU225" i="41"/>
  <c r="BT225" i="41"/>
  <c r="BR225" i="41"/>
  <c r="BQ225" i="41"/>
  <c r="BP225" i="41"/>
  <c r="BN225" i="41"/>
  <c r="BM225" i="41"/>
  <c r="BL225" i="41"/>
  <c r="BJ225" i="41"/>
  <c r="BI225" i="41"/>
  <c r="BH225" i="41"/>
  <c r="BF225" i="41"/>
  <c r="BE225" i="41"/>
  <c r="BD225" i="41"/>
  <c r="BB225" i="41"/>
  <c r="BA225" i="41"/>
  <c r="AZ225" i="41"/>
  <c r="AX225" i="41"/>
  <c r="AW225" i="41"/>
  <c r="AV225" i="41"/>
  <c r="AT225" i="41"/>
  <c r="AS225" i="41"/>
  <c r="AR225" i="41"/>
  <c r="AP225" i="41"/>
  <c r="AO225" i="41"/>
  <c r="DD224" i="41"/>
  <c r="DB224" i="41"/>
  <c r="DA224" i="41"/>
  <c r="CZ224" i="41"/>
  <c r="CX224" i="41"/>
  <c r="CW224" i="41"/>
  <c r="CV224" i="41"/>
  <c r="CT224" i="41"/>
  <c r="CS224" i="41"/>
  <c r="CR224" i="41"/>
  <c r="CP224" i="41"/>
  <c r="CO224" i="41"/>
  <c r="CN224" i="41"/>
  <c r="CL224" i="41"/>
  <c r="CK224" i="41"/>
  <c r="CJ224" i="41"/>
  <c r="CH224" i="41"/>
  <c r="CG224" i="41"/>
  <c r="CF224" i="41"/>
  <c r="CD224" i="41"/>
  <c r="CC224" i="41"/>
  <c r="CB224" i="41"/>
  <c r="BZ224" i="41"/>
  <c r="BY224" i="41"/>
  <c r="BX224" i="41"/>
  <c r="BV224" i="41"/>
  <c r="BU224" i="41"/>
  <c r="BT224" i="41"/>
  <c r="BR224" i="41"/>
  <c r="BQ224" i="41"/>
  <c r="BP224" i="41"/>
  <c r="BN224" i="41"/>
  <c r="BM224" i="41"/>
  <c r="BL224" i="41"/>
  <c r="BJ224" i="41"/>
  <c r="BI224" i="41"/>
  <c r="BH224" i="41"/>
  <c r="BF224" i="41"/>
  <c r="BE224" i="41"/>
  <c r="BD224" i="41"/>
  <c r="BB224" i="41"/>
  <c r="BA224" i="41"/>
  <c r="AZ224" i="41"/>
  <c r="AX224" i="41"/>
  <c r="AW224" i="41"/>
  <c r="AV224" i="41"/>
  <c r="AT224" i="41"/>
  <c r="AS224" i="41"/>
  <c r="AR224" i="41"/>
  <c r="AP224" i="41"/>
  <c r="AO224" i="41"/>
  <c r="DD223" i="41"/>
  <c r="DB223" i="41"/>
  <c r="DA223" i="41"/>
  <c r="CZ223" i="41"/>
  <c r="CX223" i="41"/>
  <c r="CW223" i="41"/>
  <c r="CV223" i="41"/>
  <c r="CT223" i="41"/>
  <c r="CS223" i="41"/>
  <c r="CR223" i="41"/>
  <c r="CP223" i="41"/>
  <c r="CO223" i="41"/>
  <c r="CN223" i="41"/>
  <c r="CL223" i="41"/>
  <c r="CK223" i="41"/>
  <c r="CJ223" i="41"/>
  <c r="CH223" i="41"/>
  <c r="CG223" i="41"/>
  <c r="CF223" i="41"/>
  <c r="CD223" i="41"/>
  <c r="CC223" i="41"/>
  <c r="CB223" i="41"/>
  <c r="BZ223" i="41"/>
  <c r="BY223" i="41"/>
  <c r="BX223" i="41"/>
  <c r="BV223" i="41"/>
  <c r="BU223" i="41"/>
  <c r="BT223" i="41"/>
  <c r="BR223" i="41"/>
  <c r="BQ223" i="41"/>
  <c r="BP223" i="41"/>
  <c r="BN223" i="41"/>
  <c r="BM223" i="41"/>
  <c r="BL223" i="41"/>
  <c r="BJ223" i="41"/>
  <c r="BI223" i="41"/>
  <c r="BH223" i="41"/>
  <c r="BF223" i="41"/>
  <c r="BE223" i="41"/>
  <c r="BD223" i="41"/>
  <c r="BB223" i="41"/>
  <c r="BA223" i="41"/>
  <c r="AZ223" i="41"/>
  <c r="AX223" i="41"/>
  <c r="AW223" i="41"/>
  <c r="AV223" i="41"/>
  <c r="AT223" i="41"/>
  <c r="AS223" i="41"/>
  <c r="AR223" i="41"/>
  <c r="AP223" i="41"/>
  <c r="AO223" i="41"/>
  <c r="DD220" i="41"/>
  <c r="DB220" i="41"/>
  <c r="DA220" i="41"/>
  <c r="CZ220" i="41"/>
  <c r="CX220" i="41"/>
  <c r="CW220" i="41"/>
  <c r="CV220" i="41"/>
  <c r="CT220" i="41"/>
  <c r="CS220" i="41"/>
  <c r="CR220" i="41"/>
  <c r="CP220" i="41"/>
  <c r="CO220" i="41"/>
  <c r="CN220" i="41"/>
  <c r="CL220" i="41"/>
  <c r="CK220" i="41"/>
  <c r="CJ220" i="41"/>
  <c r="CH220" i="41"/>
  <c r="CG220" i="41"/>
  <c r="CF220" i="41"/>
  <c r="CD220" i="41"/>
  <c r="CC220" i="41"/>
  <c r="CB220" i="41"/>
  <c r="BZ220" i="41"/>
  <c r="BY220" i="41"/>
  <c r="BX220" i="41"/>
  <c r="BV220" i="41"/>
  <c r="BU220" i="41"/>
  <c r="BT220" i="41"/>
  <c r="BR220" i="41"/>
  <c r="BQ220" i="41"/>
  <c r="BP220" i="41"/>
  <c r="BN220" i="41"/>
  <c r="BM220" i="41"/>
  <c r="BL220" i="41"/>
  <c r="BJ220" i="41"/>
  <c r="BI220" i="41"/>
  <c r="BH220" i="41"/>
  <c r="BF220" i="41"/>
  <c r="BE220" i="41"/>
  <c r="BD220" i="41"/>
  <c r="BB220" i="41"/>
  <c r="BA220" i="41"/>
  <c r="AZ220" i="41"/>
  <c r="AX220" i="41"/>
  <c r="AW220" i="41"/>
  <c r="AV220" i="41"/>
  <c r="AT220" i="41"/>
  <c r="AS220" i="41"/>
  <c r="AR220" i="41"/>
  <c r="AP220" i="41"/>
  <c r="AO220" i="41"/>
  <c r="DD219" i="41"/>
  <c r="DB219" i="41"/>
  <c r="DA219" i="41"/>
  <c r="CZ219" i="41"/>
  <c r="CX219" i="41"/>
  <c r="CW219" i="41"/>
  <c r="CV219" i="41"/>
  <c r="CT219" i="41"/>
  <c r="CS219" i="41"/>
  <c r="CR219" i="41"/>
  <c r="CP219" i="41"/>
  <c r="CO219" i="41"/>
  <c r="CN219" i="41"/>
  <c r="CL219" i="41"/>
  <c r="CK219" i="41"/>
  <c r="CJ219" i="41"/>
  <c r="CH219" i="41"/>
  <c r="CG219" i="41"/>
  <c r="CF219" i="41"/>
  <c r="CD219" i="41"/>
  <c r="CC219" i="41"/>
  <c r="CB219" i="41"/>
  <c r="BZ219" i="41"/>
  <c r="BY219" i="41"/>
  <c r="BX219" i="41"/>
  <c r="BV219" i="41"/>
  <c r="BU219" i="41"/>
  <c r="BT219" i="41"/>
  <c r="BR219" i="41"/>
  <c r="BQ219" i="41"/>
  <c r="BP219" i="41"/>
  <c r="BN219" i="41"/>
  <c r="BM219" i="41"/>
  <c r="BL219" i="41"/>
  <c r="BJ219" i="41"/>
  <c r="BI219" i="41"/>
  <c r="BH219" i="41"/>
  <c r="BF219" i="41"/>
  <c r="BE219" i="41"/>
  <c r="BD219" i="41"/>
  <c r="BB219" i="41"/>
  <c r="BA219" i="41"/>
  <c r="AZ219" i="41"/>
  <c r="AX219" i="41"/>
  <c r="AW219" i="41"/>
  <c r="AV219" i="41"/>
  <c r="AT219" i="41"/>
  <c r="AS219" i="41"/>
  <c r="AR219" i="41"/>
  <c r="AP219" i="41"/>
  <c r="AO219" i="41"/>
  <c r="DD218" i="41"/>
  <c r="DB218" i="41"/>
  <c r="DA218" i="41"/>
  <c r="CZ218" i="41"/>
  <c r="CX218" i="41"/>
  <c r="CW218" i="41"/>
  <c r="CV218" i="41"/>
  <c r="CT218" i="41"/>
  <c r="CS218" i="41"/>
  <c r="CR218" i="41"/>
  <c r="CP218" i="41"/>
  <c r="CO218" i="41"/>
  <c r="CN218" i="41"/>
  <c r="CL218" i="41"/>
  <c r="CK218" i="41"/>
  <c r="CJ218" i="41"/>
  <c r="CH218" i="41"/>
  <c r="CG218" i="41"/>
  <c r="CF218" i="41"/>
  <c r="CD218" i="41"/>
  <c r="CC218" i="41"/>
  <c r="CB218" i="41"/>
  <c r="BZ218" i="41"/>
  <c r="BY218" i="41"/>
  <c r="BX218" i="41"/>
  <c r="BV218" i="41"/>
  <c r="BU218" i="41"/>
  <c r="BT218" i="41"/>
  <c r="BR218" i="41"/>
  <c r="BQ218" i="41"/>
  <c r="BP218" i="41"/>
  <c r="BN218" i="41"/>
  <c r="BM218" i="41"/>
  <c r="BL218" i="41"/>
  <c r="BJ218" i="41"/>
  <c r="BI218" i="41"/>
  <c r="BH218" i="41"/>
  <c r="BF218" i="41"/>
  <c r="BE218" i="41"/>
  <c r="BD218" i="41"/>
  <c r="BB218" i="41"/>
  <c r="BA218" i="41"/>
  <c r="AZ218" i="41"/>
  <c r="AX218" i="41"/>
  <c r="AW218" i="41"/>
  <c r="AV218" i="41"/>
  <c r="AT218" i="41"/>
  <c r="AS218" i="41"/>
  <c r="AR218" i="41"/>
  <c r="AP218" i="41"/>
  <c r="AO218" i="41"/>
  <c r="DD194" i="41"/>
  <c r="DB194" i="41"/>
  <c r="DA194" i="41"/>
  <c r="CZ194" i="41"/>
  <c r="CX194" i="41"/>
  <c r="CW194" i="41"/>
  <c r="CV194" i="41"/>
  <c r="CT194" i="41"/>
  <c r="CS194" i="41"/>
  <c r="CR194" i="41"/>
  <c r="CP194" i="41"/>
  <c r="CO194" i="41"/>
  <c r="CN194" i="41"/>
  <c r="CL194" i="41"/>
  <c r="CK194" i="41"/>
  <c r="CJ194" i="41"/>
  <c r="CH194" i="41"/>
  <c r="CG194" i="41"/>
  <c r="CF194" i="41"/>
  <c r="CD194" i="41"/>
  <c r="CC194" i="41"/>
  <c r="CB194" i="41"/>
  <c r="BZ194" i="41"/>
  <c r="BY194" i="41"/>
  <c r="BX194" i="41"/>
  <c r="BV194" i="41"/>
  <c r="BU194" i="41"/>
  <c r="BT194" i="41"/>
  <c r="BR194" i="41"/>
  <c r="BQ194" i="41"/>
  <c r="BP194" i="41"/>
  <c r="BN194" i="41"/>
  <c r="BM194" i="41"/>
  <c r="BL194" i="41"/>
  <c r="BJ194" i="41"/>
  <c r="BI194" i="41"/>
  <c r="BH194" i="41"/>
  <c r="BF194" i="41"/>
  <c r="BE194" i="41"/>
  <c r="BD194" i="41"/>
  <c r="BB194" i="41"/>
  <c r="BA194" i="41"/>
  <c r="AZ194" i="41"/>
  <c r="AX194" i="41"/>
  <c r="AW194" i="41"/>
  <c r="AV194" i="41"/>
  <c r="AT194" i="41"/>
  <c r="AS194" i="41"/>
  <c r="AR194" i="41"/>
  <c r="AP194" i="41"/>
  <c r="AO194" i="41"/>
  <c r="DD189" i="41"/>
  <c r="DB189" i="41"/>
  <c r="DA189" i="41"/>
  <c r="CZ189" i="41"/>
  <c r="CX189" i="41"/>
  <c r="CW189" i="41"/>
  <c r="CV189" i="41"/>
  <c r="CT189" i="41"/>
  <c r="CS189" i="41"/>
  <c r="CR189" i="41"/>
  <c r="CP189" i="41"/>
  <c r="CO189" i="41"/>
  <c r="CN189" i="41"/>
  <c r="CL189" i="41"/>
  <c r="CK189" i="41"/>
  <c r="CJ189" i="41"/>
  <c r="CH189" i="41"/>
  <c r="CG189" i="41"/>
  <c r="CF189" i="41"/>
  <c r="CD189" i="41"/>
  <c r="CC189" i="41"/>
  <c r="CB189" i="41"/>
  <c r="BZ189" i="41"/>
  <c r="BY189" i="41"/>
  <c r="BX189" i="41"/>
  <c r="BV189" i="41"/>
  <c r="BU189" i="41"/>
  <c r="BT189" i="41"/>
  <c r="BR189" i="41"/>
  <c r="BQ189" i="41"/>
  <c r="BP189" i="41"/>
  <c r="BN189" i="41"/>
  <c r="BM189" i="41"/>
  <c r="BL189" i="41"/>
  <c r="BJ189" i="41"/>
  <c r="BI189" i="41"/>
  <c r="BH189" i="41"/>
  <c r="BF189" i="41"/>
  <c r="BE189" i="41"/>
  <c r="BD189" i="41"/>
  <c r="BB189" i="41"/>
  <c r="BA189" i="41"/>
  <c r="AZ189" i="41"/>
  <c r="AX189" i="41"/>
  <c r="AW189" i="41"/>
  <c r="AV189" i="41"/>
  <c r="AT189" i="41"/>
  <c r="AS189" i="41"/>
  <c r="AR189" i="41"/>
  <c r="AP189" i="41"/>
  <c r="AO189" i="41"/>
  <c r="DD179" i="41"/>
  <c r="DB179" i="41"/>
  <c r="DA179" i="41"/>
  <c r="CZ179" i="41"/>
  <c r="CX179" i="41"/>
  <c r="CW179" i="41"/>
  <c r="CV179" i="41"/>
  <c r="CT179" i="41"/>
  <c r="CS179" i="41"/>
  <c r="CR179" i="41"/>
  <c r="CP179" i="41"/>
  <c r="CO179" i="41"/>
  <c r="CN179" i="41"/>
  <c r="CL179" i="41"/>
  <c r="CK179" i="41"/>
  <c r="CJ179" i="41"/>
  <c r="CH179" i="41"/>
  <c r="CG179" i="41"/>
  <c r="CF179" i="41"/>
  <c r="CD179" i="41"/>
  <c r="CC179" i="41"/>
  <c r="CB179" i="41"/>
  <c r="BZ179" i="41"/>
  <c r="BY179" i="41"/>
  <c r="BX179" i="41"/>
  <c r="BV179" i="41"/>
  <c r="BU179" i="41"/>
  <c r="BT179" i="41"/>
  <c r="BR179" i="41"/>
  <c r="BQ179" i="41"/>
  <c r="BP179" i="41"/>
  <c r="BN179" i="41"/>
  <c r="BM179" i="41"/>
  <c r="BL179" i="41"/>
  <c r="BJ179" i="41"/>
  <c r="BI179" i="41"/>
  <c r="BH179" i="41"/>
  <c r="BF179" i="41"/>
  <c r="BE179" i="41"/>
  <c r="BD179" i="41"/>
  <c r="BB179" i="41"/>
  <c r="BA179" i="41"/>
  <c r="AZ179" i="41"/>
  <c r="AX179" i="41"/>
  <c r="AW179" i="41"/>
  <c r="AV179" i="41"/>
  <c r="AT179" i="41"/>
  <c r="AS179" i="41"/>
  <c r="AR179" i="41"/>
  <c r="AP179" i="41"/>
  <c r="AO179" i="41"/>
  <c r="DD158" i="41"/>
  <c r="DB158" i="41"/>
  <c r="DA158" i="41"/>
  <c r="CZ158" i="41"/>
  <c r="CX158" i="41"/>
  <c r="CW158" i="41"/>
  <c r="CV158" i="41"/>
  <c r="CT158" i="41"/>
  <c r="CS158" i="41"/>
  <c r="CR158" i="41"/>
  <c r="CP158" i="41"/>
  <c r="CO158" i="41"/>
  <c r="CN158" i="41"/>
  <c r="CL158" i="41"/>
  <c r="CK158" i="41"/>
  <c r="CJ158" i="41"/>
  <c r="CH158" i="41"/>
  <c r="CG158" i="41"/>
  <c r="CF158" i="41"/>
  <c r="CD158" i="41"/>
  <c r="CC158" i="41"/>
  <c r="CB158" i="41"/>
  <c r="BZ158" i="41"/>
  <c r="BY158" i="41"/>
  <c r="BX158" i="41"/>
  <c r="BV158" i="41"/>
  <c r="BU158" i="41"/>
  <c r="BT158" i="41"/>
  <c r="BR158" i="41"/>
  <c r="BQ158" i="41"/>
  <c r="BP158" i="41"/>
  <c r="BN158" i="41"/>
  <c r="BM158" i="41"/>
  <c r="BL158" i="41"/>
  <c r="BJ158" i="41"/>
  <c r="BI158" i="41"/>
  <c r="BH158" i="41"/>
  <c r="BF158" i="41"/>
  <c r="BE158" i="41"/>
  <c r="BD158" i="41"/>
  <c r="BB158" i="41"/>
  <c r="BA158" i="41"/>
  <c r="AZ158" i="41"/>
  <c r="AX158" i="41"/>
  <c r="AW158" i="41"/>
  <c r="AV158" i="41"/>
  <c r="AT158" i="41"/>
  <c r="AS158" i="41"/>
  <c r="AR158" i="41"/>
  <c r="AP158" i="41"/>
  <c r="AO158" i="41"/>
  <c r="DD157" i="41"/>
  <c r="DB157" i="41"/>
  <c r="DA157" i="41"/>
  <c r="CZ157" i="41"/>
  <c r="CX157" i="41"/>
  <c r="CW157" i="41"/>
  <c r="CV157" i="41"/>
  <c r="CT157" i="41"/>
  <c r="CS157" i="41"/>
  <c r="CR157" i="41"/>
  <c r="CP157" i="41"/>
  <c r="CO157" i="41"/>
  <c r="CN157" i="41"/>
  <c r="CL157" i="41"/>
  <c r="CK157" i="41"/>
  <c r="CJ157" i="41"/>
  <c r="CH157" i="41"/>
  <c r="CG157" i="41"/>
  <c r="CF157" i="41"/>
  <c r="CD157" i="41"/>
  <c r="CC157" i="41"/>
  <c r="CB157" i="41"/>
  <c r="BZ157" i="41"/>
  <c r="BY157" i="41"/>
  <c r="BX157" i="41"/>
  <c r="BV157" i="41"/>
  <c r="BU157" i="41"/>
  <c r="BT157" i="41"/>
  <c r="BR157" i="41"/>
  <c r="BQ157" i="41"/>
  <c r="BP157" i="41"/>
  <c r="BN157" i="41"/>
  <c r="BM157" i="41"/>
  <c r="BL157" i="41"/>
  <c r="BJ157" i="41"/>
  <c r="BI157" i="41"/>
  <c r="BH157" i="41"/>
  <c r="BF157" i="41"/>
  <c r="BE157" i="41"/>
  <c r="BD157" i="41"/>
  <c r="BB157" i="41"/>
  <c r="BA157" i="41"/>
  <c r="AZ157" i="41"/>
  <c r="AX157" i="41"/>
  <c r="AW157" i="41"/>
  <c r="AV157" i="41"/>
  <c r="AT157" i="41"/>
  <c r="AS157" i="41"/>
  <c r="AR157" i="41"/>
  <c r="AP157" i="41"/>
  <c r="AO157" i="41"/>
  <c r="DD156" i="41"/>
  <c r="DB156" i="41"/>
  <c r="DA156" i="41"/>
  <c r="CZ156" i="41"/>
  <c r="CX156" i="41"/>
  <c r="CW156" i="41"/>
  <c r="CV156" i="41"/>
  <c r="CT156" i="41"/>
  <c r="CS156" i="41"/>
  <c r="CR156" i="41"/>
  <c r="CP156" i="41"/>
  <c r="CO156" i="41"/>
  <c r="CN156" i="41"/>
  <c r="CL156" i="41"/>
  <c r="CK156" i="41"/>
  <c r="CJ156" i="41"/>
  <c r="CH156" i="41"/>
  <c r="CG156" i="41"/>
  <c r="CF156" i="41"/>
  <c r="CD156" i="41"/>
  <c r="CC156" i="41"/>
  <c r="CB156" i="41"/>
  <c r="BZ156" i="41"/>
  <c r="BY156" i="41"/>
  <c r="BX156" i="41"/>
  <c r="BV156" i="41"/>
  <c r="BU156" i="41"/>
  <c r="BT156" i="41"/>
  <c r="BR156" i="41"/>
  <c r="BQ156" i="41"/>
  <c r="BP156" i="41"/>
  <c r="BN156" i="41"/>
  <c r="BM156" i="41"/>
  <c r="BL156" i="41"/>
  <c r="BJ156" i="41"/>
  <c r="BI156" i="41"/>
  <c r="BH156" i="41"/>
  <c r="BF156" i="41"/>
  <c r="BE156" i="41"/>
  <c r="BD156" i="41"/>
  <c r="BB156" i="41"/>
  <c r="BA156" i="41"/>
  <c r="AZ156" i="41"/>
  <c r="AX156" i="41"/>
  <c r="AW156" i="41"/>
  <c r="AV156" i="41"/>
  <c r="AT156" i="41"/>
  <c r="AS156" i="41"/>
  <c r="AR156" i="41"/>
  <c r="AP156" i="41"/>
  <c r="AO156" i="41"/>
  <c r="DD153" i="41"/>
  <c r="DB153" i="41"/>
  <c r="DA153" i="41"/>
  <c r="CZ153" i="41"/>
  <c r="CX153" i="41"/>
  <c r="CW153" i="41"/>
  <c r="CV153" i="41"/>
  <c r="CT153" i="41"/>
  <c r="CS153" i="41"/>
  <c r="CR153" i="41"/>
  <c r="CP153" i="41"/>
  <c r="CO153" i="41"/>
  <c r="CN153" i="41"/>
  <c r="CL153" i="41"/>
  <c r="CK153" i="41"/>
  <c r="CJ153" i="41"/>
  <c r="CH153" i="41"/>
  <c r="CG153" i="41"/>
  <c r="CF153" i="41"/>
  <c r="CD153" i="41"/>
  <c r="CC153" i="41"/>
  <c r="CB153" i="41"/>
  <c r="BZ153" i="41"/>
  <c r="BY153" i="41"/>
  <c r="BX153" i="41"/>
  <c r="BV153" i="41"/>
  <c r="BU153" i="41"/>
  <c r="BT153" i="41"/>
  <c r="BR153" i="41"/>
  <c r="BQ153" i="41"/>
  <c r="BP153" i="41"/>
  <c r="BN153" i="41"/>
  <c r="BM153" i="41"/>
  <c r="BL153" i="41"/>
  <c r="BJ153" i="41"/>
  <c r="BI153" i="41"/>
  <c r="BH153" i="41"/>
  <c r="BF153" i="41"/>
  <c r="BE153" i="41"/>
  <c r="BD153" i="41"/>
  <c r="BB153" i="41"/>
  <c r="BA153" i="41"/>
  <c r="AZ153" i="41"/>
  <c r="AX153" i="41"/>
  <c r="AW153" i="41"/>
  <c r="AV153" i="41"/>
  <c r="AT153" i="41"/>
  <c r="AS153" i="41"/>
  <c r="AR153" i="41"/>
  <c r="AP153" i="41"/>
  <c r="AO153" i="41"/>
  <c r="DD152" i="41"/>
  <c r="DB152" i="41"/>
  <c r="DA152" i="41"/>
  <c r="CZ152" i="41"/>
  <c r="CX152" i="41"/>
  <c r="CW152" i="41"/>
  <c r="CV152" i="41"/>
  <c r="CT152" i="41"/>
  <c r="CS152" i="41"/>
  <c r="CR152" i="41"/>
  <c r="CP152" i="41"/>
  <c r="CO152" i="41"/>
  <c r="CN152" i="41"/>
  <c r="CL152" i="41"/>
  <c r="CK152" i="41"/>
  <c r="CJ152" i="41"/>
  <c r="CH152" i="41"/>
  <c r="CG152" i="41"/>
  <c r="CF152" i="41"/>
  <c r="CD152" i="41"/>
  <c r="CC152" i="41"/>
  <c r="CB152" i="41"/>
  <c r="BZ152" i="41"/>
  <c r="BY152" i="41"/>
  <c r="BX152" i="41"/>
  <c r="BV152" i="41"/>
  <c r="BU152" i="41"/>
  <c r="BT152" i="41"/>
  <c r="BR152" i="41"/>
  <c r="BQ152" i="41"/>
  <c r="BP152" i="41"/>
  <c r="BN152" i="41"/>
  <c r="BM152" i="41"/>
  <c r="BL152" i="41"/>
  <c r="BJ152" i="41"/>
  <c r="BI152" i="41"/>
  <c r="BH152" i="41"/>
  <c r="BF152" i="41"/>
  <c r="BE152" i="41"/>
  <c r="BD152" i="41"/>
  <c r="BB152" i="41"/>
  <c r="BA152" i="41"/>
  <c r="AZ152" i="41"/>
  <c r="AX152" i="41"/>
  <c r="AW152" i="41"/>
  <c r="AV152" i="41"/>
  <c r="AT152" i="41"/>
  <c r="AS152" i="41"/>
  <c r="AR152" i="41"/>
  <c r="AP152" i="41"/>
  <c r="AO152" i="41"/>
  <c r="DD151" i="41"/>
  <c r="DB151" i="41"/>
  <c r="DA151" i="41"/>
  <c r="CZ151" i="41"/>
  <c r="CX151" i="41"/>
  <c r="CW151" i="41"/>
  <c r="CV151" i="41"/>
  <c r="CT151" i="41"/>
  <c r="CS151" i="41"/>
  <c r="CR151" i="41"/>
  <c r="CP151" i="41"/>
  <c r="CO151" i="41"/>
  <c r="CN151" i="41"/>
  <c r="CL151" i="41"/>
  <c r="CK151" i="41"/>
  <c r="CJ151" i="41"/>
  <c r="CH151" i="41"/>
  <c r="CG151" i="41"/>
  <c r="CF151" i="41"/>
  <c r="CD151" i="41"/>
  <c r="CC151" i="41"/>
  <c r="CB151" i="41"/>
  <c r="BZ151" i="41"/>
  <c r="BY151" i="41"/>
  <c r="BX151" i="41"/>
  <c r="BV151" i="41"/>
  <c r="BU151" i="41"/>
  <c r="BT151" i="41"/>
  <c r="BR151" i="41"/>
  <c r="BQ151" i="41"/>
  <c r="BP151" i="41"/>
  <c r="BN151" i="41"/>
  <c r="BM151" i="41"/>
  <c r="BL151" i="41"/>
  <c r="BJ151" i="41"/>
  <c r="BI151" i="41"/>
  <c r="BH151" i="41"/>
  <c r="BF151" i="41"/>
  <c r="BE151" i="41"/>
  <c r="BD151" i="41"/>
  <c r="BB151" i="41"/>
  <c r="BA151" i="41"/>
  <c r="AZ151" i="41"/>
  <c r="AX151" i="41"/>
  <c r="AW151" i="41"/>
  <c r="AV151" i="41"/>
  <c r="AT151" i="41"/>
  <c r="AS151" i="41"/>
  <c r="AR151" i="41"/>
  <c r="AP151" i="41"/>
  <c r="AO151" i="41"/>
  <c r="DD148" i="41"/>
  <c r="DB148" i="41"/>
  <c r="DA148" i="41"/>
  <c r="CZ148" i="41"/>
  <c r="CX148" i="41"/>
  <c r="CW148" i="41"/>
  <c r="CV148" i="41"/>
  <c r="CT148" i="41"/>
  <c r="CS148" i="41"/>
  <c r="CR148" i="41"/>
  <c r="CP148" i="41"/>
  <c r="CO148" i="41"/>
  <c r="CN148" i="41"/>
  <c r="CL148" i="41"/>
  <c r="CK148" i="41"/>
  <c r="CJ148" i="41"/>
  <c r="CH148" i="41"/>
  <c r="CG148" i="41"/>
  <c r="CF148" i="41"/>
  <c r="CD148" i="41"/>
  <c r="CC148" i="41"/>
  <c r="CB148" i="41"/>
  <c r="BZ148" i="41"/>
  <c r="BY148" i="41"/>
  <c r="BX148" i="41"/>
  <c r="BV148" i="41"/>
  <c r="BU148" i="41"/>
  <c r="BT148" i="41"/>
  <c r="BR148" i="41"/>
  <c r="BQ148" i="41"/>
  <c r="BP148" i="41"/>
  <c r="BN148" i="41"/>
  <c r="BM148" i="41"/>
  <c r="BL148" i="41"/>
  <c r="BJ148" i="41"/>
  <c r="BI148" i="41"/>
  <c r="BH148" i="41"/>
  <c r="BF148" i="41"/>
  <c r="BE148" i="41"/>
  <c r="BD148" i="41"/>
  <c r="BB148" i="41"/>
  <c r="BA148" i="41"/>
  <c r="AZ148" i="41"/>
  <c r="AX148" i="41"/>
  <c r="AW148" i="41"/>
  <c r="AV148" i="41"/>
  <c r="AT148" i="41"/>
  <c r="AS148" i="41"/>
  <c r="AR148" i="41"/>
  <c r="AP148" i="41"/>
  <c r="AO148" i="41"/>
  <c r="DD147" i="41"/>
  <c r="DB147" i="41"/>
  <c r="DA147" i="41"/>
  <c r="CZ147" i="41"/>
  <c r="CX147" i="41"/>
  <c r="CW147" i="41"/>
  <c r="CV147" i="41"/>
  <c r="CT147" i="41"/>
  <c r="CS147" i="41"/>
  <c r="CR147" i="41"/>
  <c r="CP147" i="41"/>
  <c r="CO147" i="41"/>
  <c r="CN147" i="41"/>
  <c r="CL147" i="41"/>
  <c r="CK147" i="41"/>
  <c r="CJ147" i="41"/>
  <c r="CH147" i="41"/>
  <c r="CG147" i="41"/>
  <c r="CF147" i="41"/>
  <c r="CD147" i="41"/>
  <c r="CC147" i="41"/>
  <c r="CB147" i="41"/>
  <c r="BZ147" i="41"/>
  <c r="BY147" i="41"/>
  <c r="BX147" i="41"/>
  <c r="BV147" i="41"/>
  <c r="BU147" i="41"/>
  <c r="BT147" i="41"/>
  <c r="BR147" i="41"/>
  <c r="BQ147" i="41"/>
  <c r="BP147" i="41"/>
  <c r="BN147" i="41"/>
  <c r="BM147" i="41"/>
  <c r="BL147" i="41"/>
  <c r="BJ147" i="41"/>
  <c r="BI147" i="41"/>
  <c r="BH147" i="41"/>
  <c r="BF147" i="41"/>
  <c r="BE147" i="41"/>
  <c r="BD147" i="41"/>
  <c r="BB147" i="41"/>
  <c r="BA147" i="41"/>
  <c r="AZ147" i="41"/>
  <c r="AX147" i="41"/>
  <c r="AW147" i="41"/>
  <c r="AV147" i="41"/>
  <c r="AT147" i="41"/>
  <c r="AS147" i="41"/>
  <c r="AR147" i="41"/>
  <c r="AP147" i="41"/>
  <c r="AO147" i="41"/>
  <c r="DD146" i="41"/>
  <c r="DB146" i="41"/>
  <c r="DA146" i="41"/>
  <c r="CZ146" i="41"/>
  <c r="CX146" i="41"/>
  <c r="CW146" i="41"/>
  <c r="CV146" i="41"/>
  <c r="CT146" i="41"/>
  <c r="CS146" i="41"/>
  <c r="CR146" i="41"/>
  <c r="CP146" i="41"/>
  <c r="CO146" i="41"/>
  <c r="CN146" i="41"/>
  <c r="CL146" i="41"/>
  <c r="CK146" i="41"/>
  <c r="CJ146" i="41"/>
  <c r="CH146" i="41"/>
  <c r="CG146" i="41"/>
  <c r="CF146" i="41"/>
  <c r="CD146" i="41"/>
  <c r="CC146" i="41"/>
  <c r="CB146" i="41"/>
  <c r="BZ146" i="41"/>
  <c r="BY146" i="41"/>
  <c r="BX146" i="41"/>
  <c r="BV146" i="41"/>
  <c r="BU146" i="41"/>
  <c r="BT146" i="41"/>
  <c r="BR146" i="41"/>
  <c r="BQ146" i="41"/>
  <c r="BP146" i="41"/>
  <c r="BN146" i="41"/>
  <c r="BM146" i="41"/>
  <c r="BL146" i="41"/>
  <c r="BJ146" i="41"/>
  <c r="BI146" i="41"/>
  <c r="BH146" i="41"/>
  <c r="BF146" i="41"/>
  <c r="BE146" i="41"/>
  <c r="BD146" i="41"/>
  <c r="BB146" i="41"/>
  <c r="BA146" i="41"/>
  <c r="AZ146" i="41"/>
  <c r="AX146" i="41"/>
  <c r="AW146" i="41"/>
  <c r="AV146" i="41"/>
  <c r="AT146" i="41"/>
  <c r="AS146" i="41"/>
  <c r="AR146" i="41"/>
  <c r="AP146" i="41"/>
  <c r="AO146" i="41"/>
  <c r="DD143" i="41"/>
  <c r="DB143" i="41"/>
  <c r="DA143" i="41"/>
  <c r="CZ143" i="41"/>
  <c r="CX143" i="41"/>
  <c r="CW143" i="41"/>
  <c r="CV143" i="41"/>
  <c r="CT143" i="41"/>
  <c r="CS143" i="41"/>
  <c r="CR143" i="41"/>
  <c r="CP143" i="41"/>
  <c r="CO143" i="41"/>
  <c r="CN143" i="41"/>
  <c r="CL143" i="41"/>
  <c r="CK143" i="41"/>
  <c r="CJ143" i="41"/>
  <c r="CH143" i="41"/>
  <c r="CG143" i="41"/>
  <c r="CF143" i="41"/>
  <c r="CD143" i="41"/>
  <c r="CC143" i="41"/>
  <c r="CB143" i="41"/>
  <c r="BZ143" i="41"/>
  <c r="BY143" i="41"/>
  <c r="BX143" i="41"/>
  <c r="BV143" i="41"/>
  <c r="BU143" i="41"/>
  <c r="BT143" i="41"/>
  <c r="BR143" i="41"/>
  <c r="BQ143" i="41"/>
  <c r="BP143" i="41"/>
  <c r="BN143" i="41"/>
  <c r="BM143" i="41"/>
  <c r="BL143" i="41"/>
  <c r="BJ143" i="41"/>
  <c r="BI143" i="41"/>
  <c r="BH143" i="41"/>
  <c r="BF143" i="41"/>
  <c r="BE143" i="41"/>
  <c r="BD143" i="41"/>
  <c r="BB143" i="41"/>
  <c r="BA143" i="41"/>
  <c r="AZ143" i="41"/>
  <c r="AX143" i="41"/>
  <c r="AW143" i="41"/>
  <c r="AV143" i="41"/>
  <c r="AT143" i="41"/>
  <c r="AS143" i="41"/>
  <c r="AR143" i="41"/>
  <c r="AP143" i="41"/>
  <c r="AO143" i="41"/>
  <c r="DD142" i="41"/>
  <c r="DB142" i="41"/>
  <c r="DA142" i="41"/>
  <c r="CZ142" i="41"/>
  <c r="CX142" i="41"/>
  <c r="CW142" i="41"/>
  <c r="CV142" i="41"/>
  <c r="CT142" i="41"/>
  <c r="CS142" i="41"/>
  <c r="CR142" i="41"/>
  <c r="CP142" i="41"/>
  <c r="CO142" i="41"/>
  <c r="CN142" i="41"/>
  <c r="CL142" i="41"/>
  <c r="CK142" i="41"/>
  <c r="CJ142" i="41"/>
  <c r="CH142" i="41"/>
  <c r="CG142" i="41"/>
  <c r="CF142" i="41"/>
  <c r="CD142" i="41"/>
  <c r="CC142" i="41"/>
  <c r="CB142" i="41"/>
  <c r="BZ142" i="41"/>
  <c r="BY142" i="41"/>
  <c r="BX142" i="41"/>
  <c r="BV142" i="41"/>
  <c r="BU142" i="41"/>
  <c r="BT142" i="41"/>
  <c r="BR142" i="41"/>
  <c r="BQ142" i="41"/>
  <c r="BP142" i="41"/>
  <c r="BN142" i="41"/>
  <c r="BM142" i="41"/>
  <c r="BL142" i="41"/>
  <c r="BJ142" i="41"/>
  <c r="BI142" i="41"/>
  <c r="BH142" i="41"/>
  <c r="BF142" i="41"/>
  <c r="BE142" i="41"/>
  <c r="BD142" i="41"/>
  <c r="BB142" i="41"/>
  <c r="BA142" i="41"/>
  <c r="AZ142" i="41"/>
  <c r="AX142" i="41"/>
  <c r="AW142" i="41"/>
  <c r="AV142" i="41"/>
  <c r="AT142" i="41"/>
  <c r="AS142" i="41"/>
  <c r="AR142" i="41"/>
  <c r="AP142" i="41"/>
  <c r="AO142" i="41"/>
  <c r="DD141" i="41"/>
  <c r="DB141" i="41"/>
  <c r="DA141" i="41"/>
  <c r="CZ141" i="41"/>
  <c r="CX141" i="41"/>
  <c r="CW141" i="41"/>
  <c r="CV141" i="41"/>
  <c r="CT141" i="41"/>
  <c r="CS141" i="41"/>
  <c r="CR141" i="41"/>
  <c r="CP141" i="41"/>
  <c r="CO141" i="41"/>
  <c r="CN141" i="41"/>
  <c r="CL141" i="41"/>
  <c r="CK141" i="41"/>
  <c r="CJ141" i="41"/>
  <c r="CH141" i="41"/>
  <c r="CG141" i="41"/>
  <c r="CF141" i="41"/>
  <c r="CD141" i="41"/>
  <c r="CC141" i="41"/>
  <c r="CB141" i="41"/>
  <c r="BZ141" i="41"/>
  <c r="BY141" i="41"/>
  <c r="BX141" i="41"/>
  <c r="BV141" i="41"/>
  <c r="BU141" i="41"/>
  <c r="BT141" i="41"/>
  <c r="BR141" i="41"/>
  <c r="BQ141" i="41"/>
  <c r="BP141" i="41"/>
  <c r="BN141" i="41"/>
  <c r="BM141" i="41"/>
  <c r="BL141" i="41"/>
  <c r="BJ141" i="41"/>
  <c r="BI141" i="41"/>
  <c r="BH141" i="41"/>
  <c r="BF141" i="41"/>
  <c r="BE141" i="41"/>
  <c r="BD141" i="41"/>
  <c r="BB141" i="41"/>
  <c r="BA141" i="41"/>
  <c r="AZ141" i="41"/>
  <c r="AX141" i="41"/>
  <c r="AW141" i="41"/>
  <c r="AV141" i="41"/>
  <c r="AT141" i="41"/>
  <c r="AS141" i="41"/>
  <c r="AR141" i="41"/>
  <c r="AP141" i="41"/>
  <c r="AO141" i="41"/>
  <c r="AR133" i="41"/>
  <c r="AP133" i="41"/>
  <c r="AO133" i="41"/>
  <c r="AN133" i="41"/>
  <c r="AL133" i="41"/>
  <c r="AK133" i="41"/>
  <c r="AJ133" i="41"/>
  <c r="AH133" i="41"/>
  <c r="AG133" i="41"/>
  <c r="DD119" i="41"/>
  <c r="DB119" i="41"/>
  <c r="DA119" i="41"/>
  <c r="CZ119" i="41"/>
  <c r="CX119" i="41"/>
  <c r="CW119" i="41"/>
  <c r="CV119" i="41"/>
  <c r="CT119" i="41"/>
  <c r="CS119" i="41"/>
  <c r="CR119" i="41"/>
  <c r="CP119" i="41"/>
  <c r="CO119" i="41"/>
  <c r="CN119" i="41"/>
  <c r="CL119" i="41"/>
  <c r="CK119" i="41"/>
  <c r="CJ119" i="41"/>
  <c r="CH119" i="41"/>
  <c r="CG119" i="41"/>
  <c r="CF119" i="41"/>
  <c r="CD119" i="41"/>
  <c r="CC119" i="41"/>
  <c r="CB119" i="41"/>
  <c r="BZ119" i="41"/>
  <c r="BY119" i="41"/>
  <c r="BX119" i="41"/>
  <c r="BV119" i="41"/>
  <c r="BU119" i="41"/>
  <c r="BT119" i="41"/>
  <c r="BR119" i="41"/>
  <c r="BQ119" i="41"/>
  <c r="BP119" i="41"/>
  <c r="BN119" i="41"/>
  <c r="BM119" i="41"/>
  <c r="BL119" i="41"/>
  <c r="BJ119" i="41"/>
  <c r="BI119" i="41"/>
  <c r="BH119" i="41"/>
  <c r="BF119" i="41"/>
  <c r="BE119" i="41"/>
  <c r="BD119" i="41"/>
  <c r="BB119" i="41"/>
  <c r="BA119" i="41"/>
  <c r="AZ119" i="41"/>
  <c r="AX119" i="41"/>
  <c r="AW119" i="41"/>
  <c r="AV119" i="41"/>
  <c r="AT119" i="41"/>
  <c r="AS119" i="41"/>
  <c r="AR119" i="41"/>
  <c r="AP119" i="41"/>
  <c r="AO119" i="41"/>
  <c r="AN119" i="41"/>
  <c r="AL119" i="41"/>
  <c r="AK119" i="41"/>
  <c r="AJ119" i="41"/>
  <c r="AH119" i="41"/>
  <c r="AG119" i="41"/>
  <c r="DD118" i="41"/>
  <c r="DB118" i="41"/>
  <c r="DA118" i="41"/>
  <c r="CZ118" i="41"/>
  <c r="CX118" i="41"/>
  <c r="CW118" i="41"/>
  <c r="CV118" i="41"/>
  <c r="CT118" i="41"/>
  <c r="CS118" i="41"/>
  <c r="CR118" i="41"/>
  <c r="CP118" i="41"/>
  <c r="CO118" i="41"/>
  <c r="CN118" i="41"/>
  <c r="CL118" i="41"/>
  <c r="CK118" i="41"/>
  <c r="CJ118" i="41"/>
  <c r="CH118" i="41"/>
  <c r="CG118" i="41"/>
  <c r="CF118" i="41"/>
  <c r="CD118" i="41"/>
  <c r="CC118" i="41"/>
  <c r="CB118" i="41"/>
  <c r="BZ118" i="41"/>
  <c r="BY118" i="41"/>
  <c r="BX118" i="41"/>
  <c r="BV118" i="41"/>
  <c r="BU118" i="41"/>
  <c r="BT118" i="41"/>
  <c r="BR118" i="41"/>
  <c r="BQ118" i="41"/>
  <c r="BP118" i="41"/>
  <c r="BN118" i="41"/>
  <c r="BM118" i="41"/>
  <c r="BL118" i="41"/>
  <c r="BJ118" i="41"/>
  <c r="BI118" i="41"/>
  <c r="BH118" i="41"/>
  <c r="BF118" i="41"/>
  <c r="BE118" i="41"/>
  <c r="BD118" i="41"/>
  <c r="BB118" i="41"/>
  <c r="BA118" i="41"/>
  <c r="AZ118" i="41"/>
  <c r="AX118" i="41"/>
  <c r="AW118" i="41"/>
  <c r="AV118" i="41"/>
  <c r="AT118" i="41"/>
  <c r="AS118" i="41"/>
  <c r="AR118" i="41"/>
  <c r="AP118" i="41"/>
  <c r="AO118" i="41"/>
  <c r="AN118" i="41"/>
  <c r="AL118" i="41"/>
  <c r="AK118" i="41"/>
  <c r="AJ118" i="41"/>
  <c r="AH118" i="41"/>
  <c r="AG118" i="41"/>
  <c r="DD117" i="41"/>
  <c r="DB117" i="41"/>
  <c r="DA117" i="41"/>
  <c r="CZ117" i="41"/>
  <c r="CX117" i="41"/>
  <c r="CW117" i="41"/>
  <c r="CV117" i="41"/>
  <c r="CT117" i="41"/>
  <c r="CS117" i="41"/>
  <c r="CR117" i="41"/>
  <c r="CP117" i="41"/>
  <c r="CO117" i="41"/>
  <c r="CN117" i="41"/>
  <c r="CL117" i="41"/>
  <c r="CK117" i="41"/>
  <c r="CJ117" i="41"/>
  <c r="CH117" i="41"/>
  <c r="CG117" i="41"/>
  <c r="CF117" i="41"/>
  <c r="CD117" i="41"/>
  <c r="CC117" i="41"/>
  <c r="CB117" i="41"/>
  <c r="BZ117" i="41"/>
  <c r="BY117" i="41"/>
  <c r="BX117" i="41"/>
  <c r="BV117" i="41"/>
  <c r="BU117" i="41"/>
  <c r="BT117" i="41"/>
  <c r="BR117" i="41"/>
  <c r="BQ117" i="41"/>
  <c r="BP117" i="41"/>
  <c r="BN117" i="41"/>
  <c r="BM117" i="41"/>
  <c r="BL117" i="41"/>
  <c r="BJ117" i="41"/>
  <c r="BI117" i="41"/>
  <c r="BH117" i="41"/>
  <c r="BF117" i="41"/>
  <c r="BE117" i="41"/>
  <c r="BD117" i="41"/>
  <c r="BB117" i="41"/>
  <c r="BA117" i="41"/>
  <c r="AZ117" i="41"/>
  <c r="AX117" i="41"/>
  <c r="AW117" i="41"/>
  <c r="AV117" i="41"/>
  <c r="AT117" i="41"/>
  <c r="AS117" i="41"/>
  <c r="AR117" i="41"/>
  <c r="AP117" i="41"/>
  <c r="AO117" i="41"/>
  <c r="AN117" i="41"/>
  <c r="AL117" i="41"/>
  <c r="AK117" i="41"/>
  <c r="AJ117" i="41"/>
  <c r="AH117" i="41"/>
  <c r="AG117" i="41"/>
  <c r="DD115" i="41"/>
  <c r="DB115" i="41"/>
  <c r="DA115" i="41"/>
  <c r="CZ115" i="41"/>
  <c r="CX115" i="41"/>
  <c r="CW115" i="41"/>
  <c r="CV115" i="41"/>
  <c r="CT115" i="41"/>
  <c r="CS115" i="41"/>
  <c r="CR115" i="41"/>
  <c r="CP115" i="41"/>
  <c r="CO115" i="41"/>
  <c r="CN115" i="41"/>
  <c r="CL115" i="41"/>
  <c r="CK115" i="41"/>
  <c r="CJ115" i="41"/>
  <c r="CH115" i="41"/>
  <c r="CG115" i="41"/>
  <c r="CF115" i="41"/>
  <c r="CD115" i="41"/>
  <c r="CC115" i="41"/>
  <c r="CB115" i="41"/>
  <c r="BZ115" i="41"/>
  <c r="BY115" i="41"/>
  <c r="BX115" i="41"/>
  <c r="BV115" i="41"/>
  <c r="BU115" i="41"/>
  <c r="BT115" i="41"/>
  <c r="BR115" i="41"/>
  <c r="BQ115" i="41"/>
  <c r="BP115" i="41"/>
  <c r="BN115" i="41"/>
  <c r="BM115" i="41"/>
  <c r="BL115" i="41"/>
  <c r="BJ115" i="41"/>
  <c r="BI115" i="41"/>
  <c r="BH115" i="41"/>
  <c r="BF115" i="41"/>
  <c r="BE115" i="41"/>
  <c r="BD115" i="41"/>
  <c r="BB115" i="41"/>
  <c r="BA115" i="41"/>
  <c r="AZ115" i="41"/>
  <c r="AX115" i="41"/>
  <c r="AW115" i="41"/>
  <c r="AV115" i="41"/>
  <c r="AT115" i="41"/>
  <c r="AS115" i="41"/>
  <c r="AR115" i="41"/>
  <c r="AP115" i="41"/>
  <c r="AO115" i="41"/>
  <c r="AN115" i="41"/>
  <c r="AL115" i="41"/>
  <c r="AK115" i="41"/>
  <c r="AJ115" i="41"/>
  <c r="AH115" i="41"/>
  <c r="AG115" i="41"/>
  <c r="DD114" i="41"/>
  <c r="DB114" i="41"/>
  <c r="DA114" i="41"/>
  <c r="CZ114" i="41"/>
  <c r="CX114" i="41"/>
  <c r="CW114" i="41"/>
  <c r="CV114" i="41"/>
  <c r="CT114" i="41"/>
  <c r="CS114" i="41"/>
  <c r="CR114" i="41"/>
  <c r="CP114" i="41"/>
  <c r="CO114" i="41"/>
  <c r="CN114" i="41"/>
  <c r="CL114" i="41"/>
  <c r="CK114" i="41"/>
  <c r="CJ114" i="41"/>
  <c r="CH114" i="41"/>
  <c r="CG114" i="41"/>
  <c r="CF114" i="41"/>
  <c r="CD114" i="41"/>
  <c r="CC114" i="41"/>
  <c r="CB114" i="41"/>
  <c r="BZ114" i="41"/>
  <c r="BY114" i="41"/>
  <c r="BX114" i="41"/>
  <c r="BV114" i="41"/>
  <c r="BU114" i="41"/>
  <c r="BT114" i="41"/>
  <c r="BR114" i="41"/>
  <c r="BQ114" i="41"/>
  <c r="BP114" i="41"/>
  <c r="BN114" i="41"/>
  <c r="BM114" i="41"/>
  <c r="BL114" i="41"/>
  <c r="BJ114" i="41"/>
  <c r="BI114" i="41"/>
  <c r="BH114" i="41"/>
  <c r="BF114" i="41"/>
  <c r="BE114" i="41"/>
  <c r="BD114" i="41"/>
  <c r="BB114" i="41"/>
  <c r="BA114" i="41"/>
  <c r="AZ114" i="41"/>
  <c r="AX114" i="41"/>
  <c r="AW114" i="41"/>
  <c r="AV114" i="41"/>
  <c r="AT114" i="41"/>
  <c r="AS114" i="41"/>
  <c r="AR114" i="41"/>
  <c r="AP114" i="41"/>
  <c r="AO114" i="41"/>
  <c r="AN114" i="41"/>
  <c r="AL114" i="41"/>
  <c r="AK114" i="41"/>
  <c r="AJ114" i="41"/>
  <c r="AH114" i="41"/>
  <c r="AG114" i="41"/>
  <c r="DD113" i="41"/>
  <c r="DB113" i="41"/>
  <c r="DA113" i="41"/>
  <c r="CZ113" i="41"/>
  <c r="CX113" i="41"/>
  <c r="CW113" i="41"/>
  <c r="CV113" i="41"/>
  <c r="CT113" i="41"/>
  <c r="CS113" i="41"/>
  <c r="CR113" i="41"/>
  <c r="CP113" i="41"/>
  <c r="CO113" i="41"/>
  <c r="CN113" i="41"/>
  <c r="CL113" i="41"/>
  <c r="CK113" i="41"/>
  <c r="CJ113" i="41"/>
  <c r="CH113" i="41"/>
  <c r="CG113" i="41"/>
  <c r="CF113" i="41"/>
  <c r="CD113" i="41"/>
  <c r="CC113" i="41"/>
  <c r="CB113" i="41"/>
  <c r="BZ113" i="41"/>
  <c r="BY113" i="41"/>
  <c r="BX113" i="41"/>
  <c r="BV113" i="41"/>
  <c r="BU113" i="41"/>
  <c r="BT113" i="41"/>
  <c r="BR113" i="41"/>
  <c r="BQ113" i="41"/>
  <c r="BP113" i="41"/>
  <c r="BN113" i="41"/>
  <c r="BM113" i="41"/>
  <c r="BL113" i="41"/>
  <c r="BJ113" i="41"/>
  <c r="BI113" i="41"/>
  <c r="BH113" i="41"/>
  <c r="BF113" i="41"/>
  <c r="BE113" i="41"/>
  <c r="BD113" i="41"/>
  <c r="BB113" i="41"/>
  <c r="BA113" i="41"/>
  <c r="AZ113" i="41"/>
  <c r="AX113" i="41"/>
  <c r="AW113" i="41"/>
  <c r="AV113" i="41"/>
  <c r="AT113" i="41"/>
  <c r="AS113" i="41"/>
  <c r="AR113" i="41"/>
  <c r="AP113" i="41"/>
  <c r="AO113" i="41"/>
  <c r="AN113" i="41"/>
  <c r="AL113" i="41"/>
  <c r="AK113" i="41"/>
  <c r="AJ113" i="41"/>
  <c r="AH113" i="41"/>
  <c r="AG113" i="41"/>
  <c r="DD111" i="41"/>
  <c r="DB111" i="41"/>
  <c r="DA111" i="41"/>
  <c r="CZ111" i="41"/>
  <c r="CX111" i="41"/>
  <c r="CW111" i="41"/>
  <c r="CV111" i="41"/>
  <c r="CT111" i="41"/>
  <c r="CS111" i="41"/>
  <c r="CR111" i="41"/>
  <c r="CP111" i="41"/>
  <c r="CO111" i="41"/>
  <c r="CN111" i="41"/>
  <c r="CL111" i="41"/>
  <c r="CK111" i="41"/>
  <c r="CJ111" i="41"/>
  <c r="CH111" i="41"/>
  <c r="CG111" i="41"/>
  <c r="CF111" i="41"/>
  <c r="CD111" i="41"/>
  <c r="CC111" i="41"/>
  <c r="CB111" i="41"/>
  <c r="BZ111" i="41"/>
  <c r="BY111" i="41"/>
  <c r="BX111" i="41"/>
  <c r="BV111" i="41"/>
  <c r="BU111" i="41"/>
  <c r="BT111" i="41"/>
  <c r="BR111" i="41"/>
  <c r="BQ111" i="41"/>
  <c r="BP111" i="41"/>
  <c r="BN111" i="41"/>
  <c r="BM111" i="41"/>
  <c r="BL111" i="41"/>
  <c r="BJ111" i="41"/>
  <c r="BI111" i="41"/>
  <c r="BH111" i="41"/>
  <c r="BF111" i="41"/>
  <c r="BE111" i="41"/>
  <c r="BD111" i="41"/>
  <c r="BB111" i="41"/>
  <c r="BA111" i="41"/>
  <c r="AZ111" i="41"/>
  <c r="AX111" i="41"/>
  <c r="AW111" i="41"/>
  <c r="AV111" i="41"/>
  <c r="AT111" i="41"/>
  <c r="AS111" i="41"/>
  <c r="AR111" i="41"/>
  <c r="AP111" i="41"/>
  <c r="AO111" i="41"/>
  <c r="AN111" i="41"/>
  <c r="AL111" i="41"/>
  <c r="AK111" i="41"/>
  <c r="AJ111" i="41"/>
  <c r="AH111" i="41"/>
  <c r="AG111" i="41"/>
  <c r="DD107" i="41"/>
  <c r="DB107" i="41"/>
  <c r="DA107" i="41"/>
  <c r="CZ107" i="41"/>
  <c r="CX107" i="41"/>
  <c r="CW107" i="41"/>
  <c r="CV107" i="41"/>
  <c r="CT107" i="41"/>
  <c r="CS107" i="41"/>
  <c r="CR107" i="41"/>
  <c r="CP107" i="41"/>
  <c r="CO107" i="41"/>
  <c r="CN107" i="41"/>
  <c r="CL107" i="41"/>
  <c r="CK107" i="41"/>
  <c r="CJ107" i="41"/>
  <c r="CH107" i="41"/>
  <c r="CG107" i="41"/>
  <c r="CF107" i="41"/>
  <c r="CD107" i="41"/>
  <c r="CC107" i="41"/>
  <c r="CB107" i="41"/>
  <c r="BZ107" i="41"/>
  <c r="BY107" i="41"/>
  <c r="BX107" i="41"/>
  <c r="BV107" i="41"/>
  <c r="BU107" i="41"/>
  <c r="BT107" i="41"/>
  <c r="BR107" i="41"/>
  <c r="BQ107" i="41"/>
  <c r="BP107" i="41"/>
  <c r="BN107" i="41"/>
  <c r="BM107" i="41"/>
  <c r="BL107" i="41"/>
  <c r="BJ107" i="41"/>
  <c r="BI107" i="41"/>
  <c r="BH107" i="41"/>
  <c r="BF107" i="41"/>
  <c r="BE107" i="41"/>
  <c r="BD107" i="41"/>
  <c r="BB107" i="41"/>
  <c r="BA107" i="41"/>
  <c r="AZ107" i="41"/>
  <c r="AX107" i="41"/>
  <c r="AW107" i="41"/>
  <c r="AV107" i="41"/>
  <c r="AT107" i="41"/>
  <c r="AS107" i="41"/>
  <c r="AR107" i="41"/>
  <c r="AP107" i="41"/>
  <c r="AO107" i="41"/>
  <c r="AN107" i="41"/>
  <c r="AL107" i="41"/>
  <c r="AK107" i="41"/>
  <c r="AJ107" i="41"/>
  <c r="AH107" i="41"/>
  <c r="AG107" i="41"/>
  <c r="DD101" i="41"/>
  <c r="DB101" i="41"/>
  <c r="DA101" i="41"/>
  <c r="CZ101" i="41"/>
  <c r="CX101" i="41"/>
  <c r="CW101" i="41"/>
  <c r="CV101" i="41"/>
  <c r="CT101" i="41"/>
  <c r="CS101" i="41"/>
  <c r="CR101" i="41"/>
  <c r="CP101" i="41"/>
  <c r="CO101" i="41"/>
  <c r="CN101" i="41"/>
  <c r="CL101" i="41"/>
  <c r="CK101" i="41"/>
  <c r="CJ101" i="41"/>
  <c r="CH101" i="41"/>
  <c r="CG101" i="41"/>
  <c r="CF101" i="41"/>
  <c r="CD101" i="41"/>
  <c r="CC101" i="41"/>
  <c r="CB101" i="41"/>
  <c r="BZ101" i="41"/>
  <c r="BY101" i="41"/>
  <c r="BX101" i="41"/>
  <c r="BV101" i="41"/>
  <c r="BU101" i="41"/>
  <c r="BT101" i="41"/>
  <c r="BR101" i="41"/>
  <c r="BQ101" i="41"/>
  <c r="BP101" i="41"/>
  <c r="BN101" i="41"/>
  <c r="BM101" i="41"/>
  <c r="BL101" i="41"/>
  <c r="BJ101" i="41"/>
  <c r="BI101" i="41"/>
  <c r="BH101" i="41"/>
  <c r="BF101" i="41"/>
  <c r="BE101" i="41"/>
  <c r="BD101" i="41"/>
  <c r="BB101" i="41"/>
  <c r="BA101" i="41"/>
  <c r="AZ101" i="41"/>
  <c r="AX101" i="41"/>
  <c r="AW101" i="41"/>
  <c r="AV101" i="41"/>
  <c r="AT101" i="41"/>
  <c r="AS101" i="41"/>
  <c r="AR101" i="41"/>
  <c r="AP101" i="41"/>
  <c r="AO101" i="41"/>
  <c r="AN101" i="41"/>
  <c r="AL101" i="41"/>
  <c r="AK101" i="41"/>
  <c r="AJ101" i="41"/>
  <c r="AH101" i="41"/>
  <c r="AG101" i="41"/>
  <c r="DD100" i="41"/>
  <c r="DB100" i="41"/>
  <c r="DA100" i="41"/>
  <c r="CZ100" i="41"/>
  <c r="CX100" i="41"/>
  <c r="CW100" i="41"/>
  <c r="CV100" i="41"/>
  <c r="CT100" i="41"/>
  <c r="CS100" i="41"/>
  <c r="CR100" i="41"/>
  <c r="CP100" i="41"/>
  <c r="CO100" i="41"/>
  <c r="CN100" i="41"/>
  <c r="CL100" i="41"/>
  <c r="CK100" i="41"/>
  <c r="CJ100" i="41"/>
  <c r="CH100" i="41"/>
  <c r="CG100" i="41"/>
  <c r="CF100" i="41"/>
  <c r="CD100" i="41"/>
  <c r="CC100" i="41"/>
  <c r="CB100" i="41"/>
  <c r="BZ100" i="41"/>
  <c r="BY100" i="41"/>
  <c r="BX100" i="41"/>
  <c r="BV100" i="41"/>
  <c r="BU100" i="41"/>
  <c r="BT100" i="41"/>
  <c r="BR100" i="41"/>
  <c r="BQ100" i="41"/>
  <c r="BP100" i="41"/>
  <c r="BN100" i="41"/>
  <c r="BM100" i="41"/>
  <c r="BL100" i="41"/>
  <c r="BJ100" i="41"/>
  <c r="BI100" i="41"/>
  <c r="BH100" i="41"/>
  <c r="BF100" i="41"/>
  <c r="BE100" i="41"/>
  <c r="BD100" i="41"/>
  <c r="BB100" i="41"/>
  <c r="BA100" i="41"/>
  <c r="AZ100" i="41"/>
  <c r="AX100" i="41"/>
  <c r="AW100" i="41"/>
  <c r="AV100" i="41"/>
  <c r="AT100" i="41"/>
  <c r="AS100" i="41"/>
  <c r="AR100" i="41"/>
  <c r="AP100" i="41"/>
  <c r="AO100" i="41"/>
  <c r="AN100" i="41"/>
  <c r="AL100" i="41"/>
  <c r="AK100" i="41"/>
  <c r="AJ100" i="41"/>
  <c r="AH100" i="41"/>
  <c r="AG100" i="41"/>
  <c r="DD99" i="41"/>
  <c r="DB99" i="41"/>
  <c r="DA99" i="41"/>
  <c r="CZ99" i="41"/>
  <c r="CX99" i="41"/>
  <c r="CW99" i="41"/>
  <c r="CV99" i="41"/>
  <c r="CT99" i="41"/>
  <c r="CS99" i="41"/>
  <c r="CR99" i="41"/>
  <c r="CP99" i="41"/>
  <c r="CO99" i="41"/>
  <c r="CN99" i="41"/>
  <c r="CL99" i="41"/>
  <c r="CK99" i="41"/>
  <c r="CJ99" i="41"/>
  <c r="CH99" i="41"/>
  <c r="CG99" i="41"/>
  <c r="CF99" i="41"/>
  <c r="CD99" i="41"/>
  <c r="CC99" i="41"/>
  <c r="CB99" i="41"/>
  <c r="BZ99" i="41"/>
  <c r="BY99" i="41"/>
  <c r="BX99" i="41"/>
  <c r="BV99" i="41"/>
  <c r="BU99" i="41"/>
  <c r="BT99" i="41"/>
  <c r="BR99" i="41"/>
  <c r="BQ99" i="41"/>
  <c r="BP99" i="41"/>
  <c r="BN99" i="41"/>
  <c r="BM99" i="41"/>
  <c r="BL99" i="41"/>
  <c r="BJ99" i="41"/>
  <c r="BI99" i="41"/>
  <c r="BH99" i="41"/>
  <c r="BF99" i="41"/>
  <c r="BE99" i="41"/>
  <c r="BD99" i="41"/>
  <c r="BB99" i="41"/>
  <c r="BA99" i="41"/>
  <c r="AZ99" i="41"/>
  <c r="AX99" i="41"/>
  <c r="AW99" i="41"/>
  <c r="AV99" i="41"/>
  <c r="AT99" i="41"/>
  <c r="AS99" i="41"/>
  <c r="AR99" i="41"/>
  <c r="AP99" i="41"/>
  <c r="AO99" i="41"/>
  <c r="AN99" i="41"/>
  <c r="AL99" i="41"/>
  <c r="AK99" i="41"/>
  <c r="AJ99" i="41"/>
  <c r="AH99" i="41"/>
  <c r="AG99" i="41"/>
  <c r="DD95" i="41"/>
  <c r="DB95" i="41"/>
  <c r="DA95" i="41"/>
  <c r="CZ95" i="41"/>
  <c r="CX95" i="41"/>
  <c r="CW95" i="41"/>
  <c r="CV95" i="41"/>
  <c r="CT95" i="41"/>
  <c r="CS95" i="41"/>
  <c r="CR95" i="41"/>
  <c r="CP95" i="41"/>
  <c r="CO95" i="41"/>
  <c r="CN95" i="41"/>
  <c r="CL95" i="41"/>
  <c r="CK95" i="41"/>
  <c r="CJ95" i="41"/>
  <c r="CH95" i="41"/>
  <c r="CG95" i="41"/>
  <c r="CF95" i="41"/>
  <c r="CD95" i="41"/>
  <c r="CC95" i="41"/>
  <c r="CB95" i="41"/>
  <c r="BZ95" i="41"/>
  <c r="BY95" i="41"/>
  <c r="BX95" i="41"/>
  <c r="BV95" i="41"/>
  <c r="BU95" i="41"/>
  <c r="BT95" i="41"/>
  <c r="BR95" i="41"/>
  <c r="BQ95" i="41"/>
  <c r="BP95" i="41"/>
  <c r="BN95" i="41"/>
  <c r="BM95" i="41"/>
  <c r="BL95" i="41"/>
  <c r="BJ95" i="41"/>
  <c r="BI95" i="41"/>
  <c r="BH95" i="41"/>
  <c r="BF95" i="41"/>
  <c r="BE95" i="41"/>
  <c r="BD95" i="41"/>
  <c r="BB95" i="41"/>
  <c r="BA95" i="41"/>
  <c r="AZ95" i="41"/>
  <c r="AX95" i="41"/>
  <c r="AW95" i="41"/>
  <c r="AV95" i="41"/>
  <c r="AT95" i="41"/>
  <c r="AS95" i="41"/>
  <c r="AR95" i="41"/>
  <c r="AP95" i="41"/>
  <c r="AO95" i="41"/>
  <c r="AN95" i="41"/>
  <c r="AL95" i="41"/>
  <c r="AK95" i="41"/>
  <c r="AJ95" i="41"/>
  <c r="AH95" i="41"/>
  <c r="AG95" i="41"/>
  <c r="DD83" i="41"/>
  <c r="DB83" i="41"/>
  <c r="DA83" i="41"/>
  <c r="CZ83" i="41"/>
  <c r="CX83" i="41"/>
  <c r="CW83" i="41"/>
  <c r="CV83" i="41"/>
  <c r="CT83" i="41"/>
  <c r="CS83" i="41"/>
  <c r="CR83" i="41"/>
  <c r="CP83" i="41"/>
  <c r="CO83" i="41"/>
  <c r="CN83" i="41"/>
  <c r="CL83" i="41"/>
  <c r="CK83" i="41"/>
  <c r="CJ83" i="41"/>
  <c r="CH83" i="41"/>
  <c r="CG83" i="41"/>
  <c r="CF83" i="41"/>
  <c r="CD83" i="41"/>
  <c r="CC83" i="41"/>
  <c r="CB83" i="41"/>
  <c r="BZ83" i="41"/>
  <c r="BY83" i="41"/>
  <c r="BX83" i="41"/>
  <c r="BV83" i="41"/>
  <c r="BU83" i="41"/>
  <c r="BT83" i="41"/>
  <c r="BR83" i="41"/>
  <c r="BQ83" i="41"/>
  <c r="BP83" i="41"/>
  <c r="BN83" i="41"/>
  <c r="BM83" i="41"/>
  <c r="BL83" i="41"/>
  <c r="BJ83" i="41"/>
  <c r="BI83" i="41"/>
  <c r="BH83" i="41"/>
  <c r="BF83" i="41"/>
  <c r="BE83" i="41"/>
  <c r="BD83" i="41"/>
  <c r="BB83" i="41"/>
  <c r="BA83" i="41"/>
  <c r="AZ83" i="41"/>
  <c r="AX83" i="41"/>
  <c r="AW83" i="41"/>
  <c r="AV83" i="41"/>
  <c r="AT83" i="41"/>
  <c r="AS83" i="41"/>
  <c r="AR83" i="41"/>
  <c r="AP83" i="41"/>
  <c r="AO83" i="41"/>
  <c r="AN83" i="41"/>
  <c r="AL83" i="41"/>
  <c r="AK83" i="41"/>
  <c r="AJ83" i="41"/>
  <c r="AH83" i="41"/>
  <c r="AG83" i="41"/>
  <c r="DD82" i="41"/>
  <c r="DB82" i="41"/>
  <c r="DA82" i="41"/>
  <c r="CZ82" i="41"/>
  <c r="CX82" i="41"/>
  <c r="CW82" i="41"/>
  <c r="CV82" i="41"/>
  <c r="CT82" i="41"/>
  <c r="CS82" i="41"/>
  <c r="CR82" i="41"/>
  <c r="CP82" i="41"/>
  <c r="CO82" i="41"/>
  <c r="CN82" i="41"/>
  <c r="CL82" i="41"/>
  <c r="CK82" i="41"/>
  <c r="CJ82" i="41"/>
  <c r="CH82" i="41"/>
  <c r="CG82" i="41"/>
  <c r="CF82" i="41"/>
  <c r="CD82" i="41"/>
  <c r="CC82" i="41"/>
  <c r="CB82" i="41"/>
  <c r="BZ82" i="41"/>
  <c r="BY82" i="41"/>
  <c r="BX82" i="41"/>
  <c r="BV82" i="41"/>
  <c r="BU82" i="41"/>
  <c r="BT82" i="41"/>
  <c r="BR82" i="41"/>
  <c r="BQ82" i="41"/>
  <c r="BP82" i="41"/>
  <c r="BN82" i="41"/>
  <c r="BM82" i="41"/>
  <c r="BL82" i="41"/>
  <c r="BJ82" i="41"/>
  <c r="BI82" i="41"/>
  <c r="BH82" i="41"/>
  <c r="BF82" i="41"/>
  <c r="BE82" i="41"/>
  <c r="BD82" i="41"/>
  <c r="BB82" i="41"/>
  <c r="BA82" i="41"/>
  <c r="AZ82" i="41"/>
  <c r="AX82" i="41"/>
  <c r="AW82" i="41"/>
  <c r="AV82" i="41"/>
  <c r="AT82" i="41"/>
  <c r="AS82" i="41"/>
  <c r="AR82" i="41"/>
  <c r="AP82" i="41"/>
  <c r="AO82" i="41"/>
  <c r="AN82" i="41"/>
  <c r="AL82" i="41"/>
  <c r="AK82" i="41"/>
  <c r="AJ82" i="41"/>
  <c r="AH82" i="41"/>
  <c r="AG82" i="41"/>
  <c r="DD81" i="41"/>
  <c r="DB81" i="41"/>
  <c r="DA81" i="41"/>
  <c r="CZ81" i="41"/>
  <c r="CX81" i="41"/>
  <c r="CW81" i="41"/>
  <c r="CV81" i="41"/>
  <c r="CT81" i="41"/>
  <c r="CS81" i="41"/>
  <c r="CR81" i="41"/>
  <c r="CP81" i="41"/>
  <c r="CO81" i="41"/>
  <c r="CN81" i="41"/>
  <c r="CL81" i="41"/>
  <c r="CK81" i="41"/>
  <c r="CJ81" i="41"/>
  <c r="CH81" i="41"/>
  <c r="CG81" i="41"/>
  <c r="CF81" i="41"/>
  <c r="CD81" i="41"/>
  <c r="CC81" i="41"/>
  <c r="CB81" i="41"/>
  <c r="BZ81" i="41"/>
  <c r="BY81" i="41"/>
  <c r="BX81" i="41"/>
  <c r="BV81" i="41"/>
  <c r="BU81" i="41"/>
  <c r="BT81" i="41"/>
  <c r="BR81" i="41"/>
  <c r="BQ81" i="41"/>
  <c r="BP81" i="41"/>
  <c r="BN81" i="41"/>
  <c r="BM81" i="41"/>
  <c r="BL81" i="41"/>
  <c r="BJ81" i="41"/>
  <c r="BI81" i="41"/>
  <c r="BH81" i="41"/>
  <c r="BF81" i="41"/>
  <c r="BE81" i="41"/>
  <c r="BD81" i="41"/>
  <c r="BB81" i="41"/>
  <c r="BA81" i="41"/>
  <c r="AZ81" i="41"/>
  <c r="AX81" i="41"/>
  <c r="AW81" i="41"/>
  <c r="AV81" i="41"/>
  <c r="AT81" i="41"/>
  <c r="AS81" i="41"/>
  <c r="AR81" i="41"/>
  <c r="AP81" i="41"/>
  <c r="AO81" i="41"/>
  <c r="AN81" i="41"/>
  <c r="AL81" i="41"/>
  <c r="AK81" i="41"/>
  <c r="AJ81" i="41"/>
  <c r="AH81" i="41"/>
  <c r="AG81" i="41"/>
  <c r="DD79" i="41"/>
  <c r="DB79" i="41"/>
  <c r="DA79" i="41"/>
  <c r="CZ79" i="41"/>
  <c r="CX79" i="41"/>
  <c r="CW79" i="41"/>
  <c r="CV79" i="41"/>
  <c r="CT79" i="41"/>
  <c r="CS79" i="41"/>
  <c r="CR79" i="41"/>
  <c r="CP79" i="41"/>
  <c r="CO79" i="41"/>
  <c r="CN79" i="41"/>
  <c r="CL79" i="41"/>
  <c r="CK79" i="41"/>
  <c r="CJ79" i="41"/>
  <c r="CH79" i="41"/>
  <c r="CG79" i="41"/>
  <c r="CF79" i="41"/>
  <c r="CD79" i="41"/>
  <c r="CC79" i="41"/>
  <c r="CB79" i="41"/>
  <c r="BZ79" i="41"/>
  <c r="BY79" i="41"/>
  <c r="BX79" i="41"/>
  <c r="BV79" i="41"/>
  <c r="BU79" i="41"/>
  <c r="BT79" i="41"/>
  <c r="BR79" i="41"/>
  <c r="BQ79" i="41"/>
  <c r="BP79" i="41"/>
  <c r="BN79" i="41"/>
  <c r="BM79" i="41"/>
  <c r="BL79" i="41"/>
  <c r="BJ79" i="41"/>
  <c r="BI79" i="41"/>
  <c r="BH79" i="41"/>
  <c r="BF79" i="41"/>
  <c r="BE79" i="41"/>
  <c r="BD79" i="41"/>
  <c r="BB79" i="41"/>
  <c r="BA79" i="41"/>
  <c r="AZ79" i="41"/>
  <c r="AX79" i="41"/>
  <c r="AW79" i="41"/>
  <c r="AV79" i="41"/>
  <c r="AT79" i="41"/>
  <c r="AS79" i="41"/>
  <c r="AR79" i="41"/>
  <c r="AP79" i="41"/>
  <c r="AO79" i="41"/>
  <c r="AN79" i="41"/>
  <c r="AL79" i="41"/>
  <c r="AK79" i="41"/>
  <c r="AJ79" i="41"/>
  <c r="AH79" i="41"/>
  <c r="AG79" i="41"/>
  <c r="DD77" i="41"/>
  <c r="DB77" i="41"/>
  <c r="DA77" i="41"/>
  <c r="CZ77" i="41"/>
  <c r="CX77" i="41"/>
  <c r="CW77" i="41"/>
  <c r="CV77" i="41"/>
  <c r="CT77" i="41"/>
  <c r="CS77" i="41"/>
  <c r="CR77" i="41"/>
  <c r="CP77" i="41"/>
  <c r="CO77" i="41"/>
  <c r="CN77" i="41"/>
  <c r="CL77" i="41"/>
  <c r="CK77" i="41"/>
  <c r="CJ77" i="41"/>
  <c r="CH77" i="41"/>
  <c r="CG77" i="41"/>
  <c r="CF77" i="41"/>
  <c r="CD77" i="41"/>
  <c r="CC77" i="41"/>
  <c r="CB77" i="41"/>
  <c r="BZ77" i="41"/>
  <c r="BY77" i="41"/>
  <c r="BX77" i="41"/>
  <c r="BV77" i="41"/>
  <c r="BU77" i="41"/>
  <c r="BT77" i="41"/>
  <c r="BR77" i="41"/>
  <c r="BQ77" i="41"/>
  <c r="BP77" i="41"/>
  <c r="BN77" i="41"/>
  <c r="BM77" i="41"/>
  <c r="BL77" i="41"/>
  <c r="BJ77" i="41"/>
  <c r="BI77" i="41"/>
  <c r="BH77" i="41"/>
  <c r="BF77" i="41"/>
  <c r="BE77" i="41"/>
  <c r="BD77" i="41"/>
  <c r="BB77" i="41"/>
  <c r="BA77" i="41"/>
  <c r="AZ77" i="41"/>
  <c r="AX77" i="41"/>
  <c r="AW77" i="41"/>
  <c r="AV77" i="41"/>
  <c r="AT77" i="41"/>
  <c r="AS77" i="41"/>
  <c r="AR77" i="41"/>
  <c r="AP77" i="41"/>
  <c r="AO77" i="41"/>
  <c r="AN77" i="41"/>
  <c r="AL77" i="41"/>
  <c r="AK77" i="41"/>
  <c r="AJ77" i="41"/>
  <c r="AH77" i="41"/>
  <c r="AG77" i="41"/>
  <c r="DD71" i="41"/>
  <c r="DB71" i="41"/>
  <c r="DA71" i="41"/>
  <c r="CZ71" i="41"/>
  <c r="CX71" i="41"/>
  <c r="CW71" i="41"/>
  <c r="CV71" i="41"/>
  <c r="CT71" i="41"/>
  <c r="CS71" i="41"/>
  <c r="CR71" i="41"/>
  <c r="CP71" i="41"/>
  <c r="CO71" i="41"/>
  <c r="CN71" i="41"/>
  <c r="CL71" i="41"/>
  <c r="CK71" i="41"/>
  <c r="CJ71" i="41"/>
  <c r="CH71" i="41"/>
  <c r="CG71" i="41"/>
  <c r="CF71" i="41"/>
  <c r="CD71" i="41"/>
  <c r="CC71" i="41"/>
  <c r="CB71" i="41"/>
  <c r="BZ71" i="41"/>
  <c r="BY71" i="41"/>
  <c r="BX71" i="41"/>
  <c r="BV71" i="41"/>
  <c r="BU71" i="41"/>
  <c r="BT71" i="41"/>
  <c r="BR71" i="41"/>
  <c r="BQ71" i="41"/>
  <c r="BP71" i="41"/>
  <c r="BN71" i="41"/>
  <c r="BM71" i="41"/>
  <c r="BL71" i="41"/>
  <c r="BJ71" i="41"/>
  <c r="BI71" i="41"/>
  <c r="BH71" i="41"/>
  <c r="BF71" i="41"/>
  <c r="BE71" i="41"/>
  <c r="BD71" i="41"/>
  <c r="BB71" i="41"/>
  <c r="BA71" i="41"/>
  <c r="AZ71" i="41"/>
  <c r="AX71" i="41"/>
  <c r="AW71" i="41"/>
  <c r="AV71" i="41"/>
  <c r="AT71" i="41"/>
  <c r="AS71" i="41"/>
  <c r="AR71" i="41"/>
  <c r="AP71" i="41"/>
  <c r="AO71" i="41"/>
  <c r="AN71" i="41"/>
  <c r="AL71" i="41"/>
  <c r="AK71" i="41"/>
  <c r="AJ71" i="41"/>
  <c r="AH71" i="41"/>
  <c r="AG71" i="41"/>
  <c r="DD70" i="41"/>
  <c r="DB70" i="41"/>
  <c r="DA70" i="41"/>
  <c r="CZ70" i="41"/>
  <c r="CX70" i="41"/>
  <c r="CW70" i="41"/>
  <c r="CV70" i="41"/>
  <c r="CT70" i="41"/>
  <c r="CS70" i="41"/>
  <c r="CR70" i="41"/>
  <c r="CP70" i="41"/>
  <c r="CO70" i="41"/>
  <c r="CN70" i="41"/>
  <c r="CL70" i="41"/>
  <c r="CK70" i="41"/>
  <c r="CJ70" i="41"/>
  <c r="CH70" i="41"/>
  <c r="CG70" i="41"/>
  <c r="CF70" i="41"/>
  <c r="CD70" i="41"/>
  <c r="CC70" i="41"/>
  <c r="CB70" i="41"/>
  <c r="BZ70" i="41"/>
  <c r="BY70" i="41"/>
  <c r="BX70" i="41"/>
  <c r="BV70" i="41"/>
  <c r="BU70" i="41"/>
  <c r="BT70" i="41"/>
  <c r="BR70" i="41"/>
  <c r="BQ70" i="41"/>
  <c r="BP70" i="41"/>
  <c r="BN70" i="41"/>
  <c r="BL70" i="41"/>
  <c r="BJ70" i="41"/>
  <c r="BI70" i="41"/>
  <c r="BH70" i="41"/>
  <c r="BF70" i="41"/>
  <c r="BE70" i="41"/>
  <c r="BD70" i="41"/>
  <c r="BB70" i="41"/>
  <c r="BA70" i="41"/>
  <c r="AZ70" i="41"/>
  <c r="AX70" i="41"/>
  <c r="AW70" i="41"/>
  <c r="AV70" i="41"/>
  <c r="AT70" i="41"/>
  <c r="AS70" i="41"/>
  <c r="AR70" i="41"/>
  <c r="AP70" i="41"/>
  <c r="AO70" i="41"/>
  <c r="AN70" i="41"/>
  <c r="AL70" i="41"/>
  <c r="AK70" i="41"/>
  <c r="AJ70" i="41"/>
  <c r="AH70" i="41"/>
  <c r="AG70" i="41"/>
  <c r="DD64" i="41"/>
  <c r="DB64" i="41"/>
  <c r="DA64" i="41"/>
  <c r="CZ64" i="41"/>
  <c r="CX64" i="41"/>
  <c r="CW64" i="41"/>
  <c r="CV64" i="41"/>
  <c r="CT64" i="41"/>
  <c r="CS64" i="41"/>
  <c r="CR64" i="41"/>
  <c r="CP64" i="41"/>
  <c r="CO64" i="41"/>
  <c r="CN64" i="41"/>
  <c r="CL64" i="41"/>
  <c r="CK64" i="41"/>
  <c r="CJ64" i="41"/>
  <c r="CH64" i="41"/>
  <c r="CG64" i="41"/>
  <c r="CF64" i="41"/>
  <c r="CD64" i="41"/>
  <c r="CC64" i="41"/>
  <c r="CB64" i="41"/>
  <c r="BZ64" i="41"/>
  <c r="BY64" i="41"/>
  <c r="BX64" i="41"/>
  <c r="BV64" i="41"/>
  <c r="BU64" i="41"/>
  <c r="BT64" i="41"/>
  <c r="BR64" i="41"/>
  <c r="BQ64" i="41"/>
  <c r="BP64" i="41"/>
  <c r="BN64" i="41"/>
  <c r="BM64" i="41"/>
  <c r="BL64" i="41"/>
  <c r="BJ64" i="41"/>
  <c r="BI64" i="41"/>
  <c r="BH64" i="41"/>
  <c r="BF64" i="41"/>
  <c r="BE64" i="41"/>
  <c r="BD64" i="41"/>
  <c r="BB64" i="41"/>
  <c r="BA64" i="41"/>
  <c r="AZ64" i="41"/>
  <c r="AX64" i="41"/>
  <c r="AW64" i="41"/>
  <c r="AV64" i="41"/>
  <c r="AT64" i="41"/>
  <c r="AS64" i="41"/>
  <c r="AR64" i="41"/>
  <c r="AP64" i="41"/>
  <c r="AO64" i="41"/>
  <c r="AN64" i="41"/>
  <c r="AL64" i="41"/>
  <c r="AK64" i="41"/>
  <c r="AJ64" i="41"/>
  <c r="AH64" i="41"/>
  <c r="AG64" i="41"/>
  <c r="DD63" i="41"/>
  <c r="DB63" i="41"/>
  <c r="DA63" i="41"/>
  <c r="CZ63" i="41"/>
  <c r="CX63" i="41"/>
  <c r="CW63" i="41"/>
  <c r="CV63" i="41"/>
  <c r="CT63" i="41"/>
  <c r="CS63" i="41"/>
  <c r="CR63" i="41"/>
  <c r="CP63" i="41"/>
  <c r="CO63" i="41"/>
  <c r="CN63" i="41"/>
  <c r="CL63" i="41"/>
  <c r="CK63" i="41"/>
  <c r="CJ63" i="41"/>
  <c r="CH63" i="41"/>
  <c r="CG63" i="41"/>
  <c r="CF63" i="41"/>
  <c r="CD63" i="41"/>
  <c r="CC63" i="41"/>
  <c r="CB63" i="41"/>
  <c r="BZ63" i="41"/>
  <c r="BY63" i="41"/>
  <c r="BX63" i="41"/>
  <c r="BV63" i="41"/>
  <c r="BU63" i="41"/>
  <c r="BT63" i="41"/>
  <c r="BR63" i="41"/>
  <c r="BQ63" i="41"/>
  <c r="BP63" i="41"/>
  <c r="BN63" i="41"/>
  <c r="BM63" i="41"/>
  <c r="BL63" i="41"/>
  <c r="BJ63" i="41"/>
  <c r="BI63" i="41"/>
  <c r="BH63" i="41"/>
  <c r="BF63" i="41"/>
  <c r="BE63" i="41"/>
  <c r="BD63" i="41"/>
  <c r="BB63" i="41"/>
  <c r="BA63" i="41"/>
  <c r="AZ63" i="41"/>
  <c r="AX63" i="41"/>
  <c r="AW63" i="41"/>
  <c r="AV63" i="41"/>
  <c r="AT63" i="41"/>
  <c r="AS63" i="41"/>
  <c r="AR63" i="41"/>
  <c r="AP63" i="41"/>
  <c r="AO63" i="41"/>
  <c r="AN63" i="41"/>
  <c r="AL63" i="41"/>
  <c r="AK63" i="41"/>
  <c r="AJ63" i="41"/>
  <c r="AH63" i="41"/>
  <c r="AG63" i="41"/>
  <c r="DD62" i="41"/>
  <c r="DB62" i="41"/>
  <c r="DA62" i="41"/>
  <c r="CZ62" i="41"/>
  <c r="CX62" i="41"/>
  <c r="CW62" i="41"/>
  <c r="CV62" i="41"/>
  <c r="CT62" i="41"/>
  <c r="CS62" i="41"/>
  <c r="CR62" i="41"/>
  <c r="CP62" i="41"/>
  <c r="CO62" i="41"/>
  <c r="CN62" i="41"/>
  <c r="CL62" i="41"/>
  <c r="CK62" i="41"/>
  <c r="CJ62" i="41"/>
  <c r="CH62" i="41"/>
  <c r="CG62" i="41"/>
  <c r="CF62" i="41"/>
  <c r="CD62" i="41"/>
  <c r="CC62" i="41"/>
  <c r="CB62" i="41"/>
  <c r="BZ62" i="41"/>
  <c r="BY62" i="41"/>
  <c r="BX62" i="41"/>
  <c r="BV62" i="41"/>
  <c r="BU62" i="41"/>
  <c r="BT62" i="41"/>
  <c r="BR62" i="41"/>
  <c r="BQ62" i="41"/>
  <c r="BP62" i="41"/>
  <c r="BN62" i="41"/>
  <c r="BM62" i="41"/>
  <c r="BL62" i="41"/>
  <c r="BJ62" i="41"/>
  <c r="BI62" i="41"/>
  <c r="BH62" i="41"/>
  <c r="BF62" i="41"/>
  <c r="BE62" i="41"/>
  <c r="BD62" i="41"/>
  <c r="BB62" i="41"/>
  <c r="BA62" i="41"/>
  <c r="AZ62" i="41"/>
  <c r="AX62" i="41"/>
  <c r="AW62" i="41"/>
  <c r="AV62" i="41"/>
  <c r="AT62" i="41"/>
  <c r="AS62" i="41"/>
  <c r="AR62" i="41"/>
  <c r="AP62" i="41"/>
  <c r="AO62" i="41"/>
  <c r="AN62" i="41"/>
  <c r="AL62" i="41"/>
  <c r="AK62" i="41"/>
  <c r="AJ62" i="41"/>
  <c r="AH62" i="41"/>
  <c r="AG62" i="41"/>
  <c r="DD60" i="41"/>
  <c r="DB60" i="41"/>
  <c r="DA60" i="41"/>
  <c r="CZ60" i="41"/>
  <c r="CX60" i="41"/>
  <c r="CW60" i="41"/>
  <c r="CV60" i="41"/>
  <c r="CT60" i="41"/>
  <c r="CS60" i="41"/>
  <c r="CR60" i="41"/>
  <c r="CP60" i="41"/>
  <c r="CO60" i="41"/>
  <c r="CN60" i="41"/>
  <c r="CL60" i="41"/>
  <c r="CK60" i="41"/>
  <c r="CJ60" i="41"/>
  <c r="CH60" i="41"/>
  <c r="CG60" i="41"/>
  <c r="CF60" i="41"/>
  <c r="CD60" i="41"/>
  <c r="CC60" i="41"/>
  <c r="CB60" i="41"/>
  <c r="BZ60" i="41"/>
  <c r="BY60" i="41"/>
  <c r="BX60" i="41"/>
  <c r="BV60" i="41"/>
  <c r="BU60" i="41"/>
  <c r="BT60" i="41"/>
  <c r="BR60" i="41"/>
  <c r="BQ60" i="41"/>
  <c r="BP60" i="41"/>
  <c r="BN60" i="41"/>
  <c r="BM60" i="41"/>
  <c r="BL60" i="41"/>
  <c r="BJ60" i="41"/>
  <c r="BI60" i="41"/>
  <c r="BH60" i="41"/>
  <c r="BF60" i="41"/>
  <c r="BE60" i="41"/>
  <c r="BD60" i="41"/>
  <c r="BB60" i="41"/>
  <c r="BA60" i="41"/>
  <c r="AZ60" i="41"/>
  <c r="AX60" i="41"/>
  <c r="AW60" i="41"/>
  <c r="AV60" i="41"/>
  <c r="AT60" i="41"/>
  <c r="AS60" i="41"/>
  <c r="AR60" i="41"/>
  <c r="AP60" i="41"/>
  <c r="AO60" i="41"/>
  <c r="AN60" i="41"/>
  <c r="AL60" i="41"/>
  <c r="AK60" i="41"/>
  <c r="AJ60" i="41"/>
  <c r="AH60" i="41"/>
  <c r="AG60" i="41"/>
  <c r="DD59" i="41"/>
  <c r="DB59" i="41"/>
  <c r="DA59" i="41"/>
  <c r="CZ59" i="41"/>
  <c r="CX59" i="41"/>
  <c r="CW59" i="41"/>
  <c r="CV59" i="41"/>
  <c r="CT59" i="41"/>
  <c r="CS59" i="41"/>
  <c r="CR59" i="41"/>
  <c r="CP59" i="41"/>
  <c r="CO59" i="41"/>
  <c r="CN59" i="41"/>
  <c r="CL59" i="41"/>
  <c r="CK59" i="41"/>
  <c r="CJ59" i="41"/>
  <c r="CH59" i="41"/>
  <c r="CG59" i="41"/>
  <c r="CF59" i="41"/>
  <c r="CD59" i="41"/>
  <c r="CC59" i="41"/>
  <c r="CB59" i="41"/>
  <c r="BZ59" i="41"/>
  <c r="BY59" i="41"/>
  <c r="BX59" i="41"/>
  <c r="BV59" i="41"/>
  <c r="BU59" i="41"/>
  <c r="BT59" i="41"/>
  <c r="BR59" i="41"/>
  <c r="BQ59" i="41"/>
  <c r="BP59" i="41"/>
  <c r="BN59" i="41"/>
  <c r="BM59" i="41"/>
  <c r="BL59" i="41"/>
  <c r="BJ59" i="41"/>
  <c r="BI59" i="41"/>
  <c r="BH59" i="41"/>
  <c r="BF59" i="41"/>
  <c r="BE59" i="41"/>
  <c r="BD59" i="41"/>
  <c r="BB59" i="41"/>
  <c r="BA59" i="41"/>
  <c r="AZ59" i="41"/>
  <c r="AX59" i="41"/>
  <c r="AW59" i="41"/>
  <c r="AV59" i="41"/>
  <c r="AT59" i="41"/>
  <c r="AS59" i="41"/>
  <c r="AR59" i="41"/>
  <c r="AP59" i="41"/>
  <c r="AO59" i="41"/>
  <c r="AN59" i="41"/>
  <c r="AL59" i="41"/>
  <c r="AK59" i="41"/>
  <c r="AJ59" i="41"/>
  <c r="AH59" i="41"/>
  <c r="AG59" i="41"/>
  <c r="DD58" i="41"/>
  <c r="DB58" i="41"/>
  <c r="DA58" i="41"/>
  <c r="CZ58" i="41"/>
  <c r="CX58" i="41"/>
  <c r="CW58" i="41"/>
  <c r="CV58" i="41"/>
  <c r="CT58" i="41"/>
  <c r="CS58" i="41"/>
  <c r="CR58" i="41"/>
  <c r="CP58" i="41"/>
  <c r="CO58" i="41"/>
  <c r="CN58" i="41"/>
  <c r="CL58" i="41"/>
  <c r="CK58" i="41"/>
  <c r="CJ58" i="41"/>
  <c r="CH58" i="41"/>
  <c r="CG58" i="41"/>
  <c r="CF58" i="41"/>
  <c r="CD58" i="41"/>
  <c r="CC58" i="41"/>
  <c r="CB58" i="41"/>
  <c r="BZ58" i="41"/>
  <c r="BY58" i="41"/>
  <c r="BX58" i="41"/>
  <c r="BV58" i="41"/>
  <c r="BU58" i="41"/>
  <c r="BT58" i="41"/>
  <c r="BR58" i="41"/>
  <c r="BQ58" i="41"/>
  <c r="BP58" i="41"/>
  <c r="BN58" i="41"/>
  <c r="BM58" i="41"/>
  <c r="BL58" i="41"/>
  <c r="BJ58" i="41"/>
  <c r="BI58" i="41"/>
  <c r="BH58" i="41"/>
  <c r="BF58" i="41"/>
  <c r="BE58" i="41"/>
  <c r="BD58" i="41"/>
  <c r="BB58" i="41"/>
  <c r="BA58" i="41"/>
  <c r="AZ58" i="41"/>
  <c r="AX58" i="41"/>
  <c r="AW58" i="41"/>
  <c r="AV58" i="41"/>
  <c r="AT58" i="41"/>
  <c r="AS58" i="41"/>
  <c r="AR58" i="41"/>
  <c r="AP58" i="41"/>
  <c r="AO58" i="41"/>
  <c r="AN58" i="41"/>
  <c r="AL58" i="41"/>
  <c r="AK58" i="41"/>
  <c r="AJ58" i="41"/>
  <c r="AH58" i="41"/>
  <c r="AG58" i="41"/>
  <c r="DD56" i="41"/>
  <c r="DB56" i="41"/>
  <c r="DA56" i="41"/>
  <c r="CZ56" i="41"/>
  <c r="CX56" i="41"/>
  <c r="CW56" i="41"/>
  <c r="CV56" i="41"/>
  <c r="CT56" i="41"/>
  <c r="CS56" i="41"/>
  <c r="CR56" i="41"/>
  <c r="CP56" i="41"/>
  <c r="CO56" i="41"/>
  <c r="CN56" i="41"/>
  <c r="CL56" i="41"/>
  <c r="CK56" i="41"/>
  <c r="CJ56" i="41"/>
  <c r="CH56" i="41"/>
  <c r="CG56" i="41"/>
  <c r="CF56" i="41"/>
  <c r="CD56" i="41"/>
  <c r="CC56" i="41"/>
  <c r="CB56" i="41"/>
  <c r="BZ56" i="41"/>
  <c r="BY56" i="41"/>
  <c r="BX56" i="41"/>
  <c r="BV56" i="41"/>
  <c r="BU56" i="41"/>
  <c r="BT56" i="41"/>
  <c r="BR56" i="41"/>
  <c r="BQ56" i="41"/>
  <c r="BP56" i="41"/>
  <c r="BN56" i="41"/>
  <c r="BM56" i="41"/>
  <c r="BL56" i="41"/>
  <c r="BJ56" i="41"/>
  <c r="BI56" i="41"/>
  <c r="BH56" i="41"/>
  <c r="BF56" i="41"/>
  <c r="BE56" i="41"/>
  <c r="BD56" i="41"/>
  <c r="BB56" i="41"/>
  <c r="BA56" i="41"/>
  <c r="AZ56" i="41"/>
  <c r="AX56" i="41"/>
  <c r="AW56" i="41"/>
  <c r="AV56" i="41"/>
  <c r="AT56" i="41"/>
  <c r="AS56" i="41"/>
  <c r="AR56" i="41"/>
  <c r="AP56" i="41"/>
  <c r="AO56" i="41"/>
  <c r="AN56" i="41"/>
  <c r="AL56" i="41"/>
  <c r="AK56" i="41"/>
  <c r="AJ56" i="41"/>
  <c r="AH56" i="41"/>
  <c r="AG56" i="41"/>
  <c r="DD52" i="41"/>
  <c r="DB52" i="41"/>
  <c r="DA52" i="41"/>
  <c r="CZ52" i="41"/>
  <c r="CX52" i="41"/>
  <c r="CW52" i="41"/>
  <c r="CV52" i="41"/>
  <c r="CT52" i="41"/>
  <c r="CS52" i="41"/>
  <c r="CR52" i="41"/>
  <c r="CP52" i="41"/>
  <c r="CO52" i="41"/>
  <c r="CN52" i="41"/>
  <c r="CL52" i="41"/>
  <c r="CK52" i="41"/>
  <c r="CJ52" i="41"/>
  <c r="CH52" i="41"/>
  <c r="CG52" i="41"/>
  <c r="CF52" i="41"/>
  <c r="CD52" i="41"/>
  <c r="CC52" i="41"/>
  <c r="CB52" i="41"/>
  <c r="BZ52" i="41"/>
  <c r="BY52" i="41"/>
  <c r="BX52" i="41"/>
  <c r="BV52" i="41"/>
  <c r="BU52" i="41"/>
  <c r="BT52" i="41"/>
  <c r="BR52" i="41"/>
  <c r="BQ52" i="41"/>
  <c r="BP52" i="41"/>
  <c r="BN52" i="41"/>
  <c r="BM52" i="41"/>
  <c r="BL52" i="41"/>
  <c r="BJ52" i="41"/>
  <c r="BI52" i="41"/>
  <c r="BH52" i="41"/>
  <c r="BF52" i="41"/>
  <c r="BE52" i="41"/>
  <c r="BD52" i="41"/>
  <c r="BB52" i="41"/>
  <c r="BA52" i="41"/>
  <c r="AZ52" i="41"/>
  <c r="AX52" i="41"/>
  <c r="AW52" i="41"/>
  <c r="AV52" i="41"/>
  <c r="AT52" i="41"/>
  <c r="AS52" i="41"/>
  <c r="AR52" i="41"/>
  <c r="AP52" i="41"/>
  <c r="AO52" i="41"/>
  <c r="AN52" i="41"/>
  <c r="AL52" i="41"/>
  <c r="AK52" i="41"/>
  <c r="AJ52" i="41"/>
  <c r="AH52" i="41"/>
  <c r="AG52" i="41"/>
  <c r="DD46" i="41"/>
  <c r="DB46" i="41"/>
  <c r="DA46" i="41"/>
  <c r="CZ46" i="41"/>
  <c r="CX46" i="41"/>
  <c r="CW46" i="41"/>
  <c r="CV46" i="41"/>
  <c r="CT46" i="41"/>
  <c r="CS46" i="41"/>
  <c r="CR46" i="41"/>
  <c r="CP46" i="41"/>
  <c r="CO46" i="41"/>
  <c r="CN46" i="41"/>
  <c r="CL46" i="41"/>
  <c r="CK46" i="41"/>
  <c r="CJ46" i="41"/>
  <c r="CH46" i="41"/>
  <c r="CG46" i="41"/>
  <c r="CF46" i="41"/>
  <c r="CD46" i="41"/>
  <c r="CC46" i="41"/>
  <c r="CB46" i="41"/>
  <c r="BZ46" i="41"/>
  <c r="BY46" i="41"/>
  <c r="BX46" i="41"/>
  <c r="BV46" i="41"/>
  <c r="BU46" i="41"/>
  <c r="BT46" i="41"/>
  <c r="BR46" i="41"/>
  <c r="BQ46" i="41"/>
  <c r="BP46" i="41"/>
  <c r="BN46" i="41"/>
  <c r="BM46" i="41"/>
  <c r="BL46" i="41"/>
  <c r="BJ46" i="41"/>
  <c r="BI46" i="41"/>
  <c r="BH46" i="41"/>
  <c r="BF46" i="41"/>
  <c r="BE46" i="41"/>
  <c r="BD46" i="41"/>
  <c r="BB46" i="41"/>
  <c r="BA46" i="41"/>
  <c r="AZ46" i="41"/>
  <c r="AX46" i="41"/>
  <c r="AW46" i="41"/>
  <c r="AV46" i="41"/>
  <c r="AT46" i="41"/>
  <c r="AS46" i="41"/>
  <c r="AR46" i="41"/>
  <c r="AP46" i="41"/>
  <c r="AO46" i="41"/>
  <c r="AN46" i="41"/>
  <c r="AL46" i="41"/>
  <c r="AK46" i="41"/>
  <c r="AJ46" i="41"/>
  <c r="AH46" i="41"/>
  <c r="AG46" i="41"/>
  <c r="DD45" i="41"/>
  <c r="DB45" i="41"/>
  <c r="DA45" i="41"/>
  <c r="CZ45" i="41"/>
  <c r="CX45" i="41"/>
  <c r="CW45" i="41"/>
  <c r="CV45" i="41"/>
  <c r="CT45" i="41"/>
  <c r="CS45" i="41"/>
  <c r="CR45" i="41"/>
  <c r="CP45" i="41"/>
  <c r="CO45" i="41"/>
  <c r="CN45" i="41"/>
  <c r="CL45" i="41"/>
  <c r="CK45" i="41"/>
  <c r="CJ45" i="41"/>
  <c r="CH45" i="41"/>
  <c r="CG45" i="41"/>
  <c r="CF45" i="41"/>
  <c r="CD45" i="41"/>
  <c r="CC45" i="41"/>
  <c r="CB45" i="41"/>
  <c r="BZ45" i="41"/>
  <c r="BY45" i="41"/>
  <c r="BX45" i="41"/>
  <c r="BV45" i="41"/>
  <c r="BU45" i="41"/>
  <c r="BT45" i="41"/>
  <c r="BR45" i="41"/>
  <c r="BQ45" i="41"/>
  <c r="BP45" i="41"/>
  <c r="BN45" i="41"/>
  <c r="BM45" i="41"/>
  <c r="BL45" i="41"/>
  <c r="BJ45" i="41"/>
  <c r="BI45" i="41"/>
  <c r="BH45" i="41"/>
  <c r="BF45" i="41"/>
  <c r="BE45" i="41"/>
  <c r="BD45" i="41"/>
  <c r="BB45" i="41"/>
  <c r="BA45" i="41"/>
  <c r="AZ45" i="41"/>
  <c r="AX45" i="41"/>
  <c r="AW45" i="41"/>
  <c r="AV45" i="41"/>
  <c r="AT45" i="41"/>
  <c r="AS45" i="41"/>
  <c r="AR45" i="41"/>
  <c r="AP45" i="41"/>
  <c r="AO45" i="41"/>
  <c r="AN45" i="41"/>
  <c r="AL45" i="41"/>
  <c r="AK45" i="41"/>
  <c r="AJ45" i="41"/>
  <c r="AH45" i="41"/>
  <c r="AG45" i="41"/>
  <c r="DD44" i="41"/>
  <c r="DB44" i="41"/>
  <c r="DA44" i="41"/>
  <c r="CZ44" i="41"/>
  <c r="CX44" i="41"/>
  <c r="CW44" i="41"/>
  <c r="CV44" i="41"/>
  <c r="CT44" i="41"/>
  <c r="CS44" i="41"/>
  <c r="CR44" i="41"/>
  <c r="CP44" i="41"/>
  <c r="CO44" i="41"/>
  <c r="CN44" i="41"/>
  <c r="CL44" i="41"/>
  <c r="CK44" i="41"/>
  <c r="CJ44" i="41"/>
  <c r="CH44" i="41"/>
  <c r="CG44" i="41"/>
  <c r="CF44" i="41"/>
  <c r="CD44" i="41"/>
  <c r="CC44" i="41"/>
  <c r="CB44" i="41"/>
  <c r="BZ44" i="41"/>
  <c r="BY44" i="41"/>
  <c r="BX44" i="41"/>
  <c r="BV44" i="41"/>
  <c r="BU44" i="41"/>
  <c r="BT44" i="41"/>
  <c r="BR44" i="41"/>
  <c r="BQ44" i="41"/>
  <c r="BP44" i="41"/>
  <c r="BN44" i="41"/>
  <c r="BM44" i="41"/>
  <c r="BL44" i="41"/>
  <c r="BJ44" i="41"/>
  <c r="BI44" i="41"/>
  <c r="BH44" i="41"/>
  <c r="BF44" i="41"/>
  <c r="BE44" i="41"/>
  <c r="BD44" i="41"/>
  <c r="BB44" i="41"/>
  <c r="BA44" i="41"/>
  <c r="AZ44" i="41"/>
  <c r="AX44" i="41"/>
  <c r="AW44" i="41"/>
  <c r="AV44" i="41"/>
  <c r="AT44" i="41"/>
  <c r="AS44" i="41"/>
  <c r="AR44" i="41"/>
  <c r="AP44" i="41"/>
  <c r="AO44" i="41"/>
  <c r="AN44" i="41"/>
  <c r="AL44" i="41"/>
  <c r="AK44" i="41"/>
  <c r="AJ44" i="41"/>
  <c r="AH44" i="41"/>
  <c r="AG44" i="41"/>
  <c r="DD40" i="41"/>
  <c r="DB40" i="41"/>
  <c r="DA40" i="41"/>
  <c r="CZ40" i="41"/>
  <c r="CX40" i="41"/>
  <c r="CW40" i="41"/>
  <c r="CV40" i="41"/>
  <c r="CT40" i="41"/>
  <c r="CS40" i="41"/>
  <c r="CR40" i="41"/>
  <c r="CP40" i="41"/>
  <c r="CO40" i="41"/>
  <c r="CN40" i="41"/>
  <c r="CL40" i="41"/>
  <c r="CK40" i="41"/>
  <c r="CJ40" i="41"/>
  <c r="CH40" i="41"/>
  <c r="CG40" i="41"/>
  <c r="CF40" i="41"/>
  <c r="CD40" i="41"/>
  <c r="CC40" i="41"/>
  <c r="CB40" i="41"/>
  <c r="BZ40" i="41"/>
  <c r="BY40" i="41"/>
  <c r="BX40" i="41"/>
  <c r="BV40" i="41"/>
  <c r="BU40" i="41"/>
  <c r="BT40" i="41"/>
  <c r="BR40" i="41"/>
  <c r="BQ40" i="41"/>
  <c r="BP40" i="41"/>
  <c r="BN40" i="41"/>
  <c r="BM40" i="41"/>
  <c r="BL40" i="41"/>
  <c r="BJ40" i="41"/>
  <c r="BI40" i="41"/>
  <c r="BH40" i="41"/>
  <c r="BF40" i="41"/>
  <c r="BE40" i="41"/>
  <c r="BD40" i="41"/>
  <c r="BB40" i="41"/>
  <c r="BA40" i="41"/>
  <c r="AZ40" i="41"/>
  <c r="AX40" i="41"/>
  <c r="AW40" i="41"/>
  <c r="AV40" i="41"/>
  <c r="AT40" i="41"/>
  <c r="AS40" i="41"/>
  <c r="AR40" i="41"/>
  <c r="AP40" i="41"/>
  <c r="AO40" i="41"/>
  <c r="AN40" i="41"/>
  <c r="AL40" i="41"/>
  <c r="AK40" i="41"/>
  <c r="AJ40" i="41"/>
  <c r="AH40" i="41"/>
  <c r="AG40" i="41"/>
  <c r="DD34" i="41"/>
  <c r="DB34" i="41"/>
  <c r="DA34" i="41"/>
  <c r="CZ34" i="41"/>
  <c r="CX34" i="41"/>
  <c r="CW34" i="41"/>
  <c r="CV34" i="41"/>
  <c r="CT34" i="41"/>
  <c r="CS34" i="41"/>
  <c r="CR34" i="41"/>
  <c r="CP34" i="41"/>
  <c r="CO34" i="41"/>
  <c r="CN34" i="41"/>
  <c r="CL34" i="41"/>
  <c r="CK34" i="41"/>
  <c r="CJ34" i="41"/>
  <c r="CH34" i="41"/>
  <c r="CG34" i="41"/>
  <c r="CF34" i="41"/>
  <c r="CD34" i="41"/>
  <c r="CC34" i="41"/>
  <c r="CB34" i="41"/>
  <c r="BZ34" i="41"/>
  <c r="BY34" i="41"/>
  <c r="BX34" i="41"/>
  <c r="BV34" i="41"/>
  <c r="BU34" i="41"/>
  <c r="BT34" i="41"/>
  <c r="BR34" i="41"/>
  <c r="BQ34" i="41"/>
  <c r="BP34" i="41"/>
  <c r="BN34" i="41"/>
  <c r="BM34" i="41"/>
  <c r="BL34" i="41"/>
  <c r="BJ34" i="41"/>
  <c r="BI34" i="41"/>
  <c r="BH34" i="41"/>
  <c r="BF34" i="41"/>
  <c r="BE34" i="41"/>
  <c r="BD34" i="41"/>
  <c r="BB34" i="41"/>
  <c r="BA34" i="41"/>
  <c r="AZ34" i="41"/>
  <c r="AX34" i="41"/>
  <c r="AW34" i="41"/>
  <c r="AV34" i="41"/>
  <c r="AT34" i="41"/>
  <c r="AS34" i="41"/>
  <c r="AR34" i="41"/>
  <c r="AP34" i="41"/>
  <c r="AO34" i="41"/>
  <c r="AN34" i="41"/>
  <c r="AL34" i="41"/>
  <c r="AK34" i="41"/>
  <c r="AJ34" i="41"/>
  <c r="AH34" i="41"/>
  <c r="AG34" i="41"/>
  <c r="DD33" i="41"/>
  <c r="DB33" i="41"/>
  <c r="DA33" i="41"/>
  <c r="CZ33" i="41"/>
  <c r="CX33" i="41"/>
  <c r="CW33" i="41"/>
  <c r="CV33" i="41"/>
  <c r="CT33" i="41"/>
  <c r="CS33" i="41"/>
  <c r="CR33" i="41"/>
  <c r="CP33" i="41"/>
  <c r="CO33" i="41"/>
  <c r="CN33" i="41"/>
  <c r="CL33" i="41"/>
  <c r="CK33" i="41"/>
  <c r="CJ33" i="41"/>
  <c r="CH33" i="41"/>
  <c r="CG33" i="41"/>
  <c r="CF33" i="41"/>
  <c r="CD33" i="41"/>
  <c r="CC33" i="41"/>
  <c r="CB33" i="41"/>
  <c r="BZ33" i="41"/>
  <c r="BY33" i="41"/>
  <c r="BX33" i="41"/>
  <c r="BV33" i="41"/>
  <c r="BU33" i="41"/>
  <c r="BT33" i="41"/>
  <c r="BR33" i="41"/>
  <c r="BQ33" i="41"/>
  <c r="BP33" i="41"/>
  <c r="BN33" i="41"/>
  <c r="BM33" i="41"/>
  <c r="BL33" i="41"/>
  <c r="BJ33" i="41"/>
  <c r="BI33" i="41"/>
  <c r="BH33" i="41"/>
  <c r="BF33" i="41"/>
  <c r="BE33" i="41"/>
  <c r="BD33" i="41"/>
  <c r="BB33" i="41"/>
  <c r="BA33" i="41"/>
  <c r="AZ33" i="41"/>
  <c r="AX33" i="41"/>
  <c r="AW33" i="41"/>
  <c r="AV33" i="41"/>
  <c r="AT33" i="41"/>
  <c r="AS33" i="41"/>
  <c r="AR33" i="41"/>
  <c r="AP33" i="41"/>
  <c r="AO33" i="41"/>
  <c r="AN33" i="41"/>
  <c r="AL33" i="41"/>
  <c r="AK33" i="41"/>
  <c r="AJ33" i="41"/>
  <c r="AH33" i="41"/>
  <c r="AG33" i="41"/>
  <c r="DD28" i="41"/>
  <c r="DB28" i="41"/>
  <c r="DA28" i="41"/>
  <c r="CZ28" i="41"/>
  <c r="CX28" i="41"/>
  <c r="CW28" i="41"/>
  <c r="CV28" i="41"/>
  <c r="CT28" i="41"/>
  <c r="CS28" i="41"/>
  <c r="CR28" i="41"/>
  <c r="CP28" i="41"/>
  <c r="CO28" i="41"/>
  <c r="CN28" i="41"/>
  <c r="CL28" i="41"/>
  <c r="CK28" i="41"/>
  <c r="CJ28" i="41"/>
  <c r="CH28" i="41"/>
  <c r="CG28" i="41"/>
  <c r="CF28" i="41"/>
  <c r="CD28" i="41"/>
  <c r="CC28" i="41"/>
  <c r="CB28" i="41"/>
  <c r="BZ28" i="41"/>
  <c r="BY28" i="41"/>
  <c r="BX28" i="41"/>
  <c r="BV28" i="41"/>
  <c r="BU28" i="41"/>
  <c r="BT28" i="41"/>
  <c r="BR28" i="41"/>
  <c r="BQ28" i="41"/>
  <c r="BP28" i="41"/>
  <c r="BN28" i="41"/>
  <c r="BM28" i="41"/>
  <c r="BL28" i="41"/>
  <c r="BJ28" i="41"/>
  <c r="BI28" i="41"/>
  <c r="BH28" i="41"/>
  <c r="BF28" i="41"/>
  <c r="BE28" i="41"/>
  <c r="BD28" i="41"/>
  <c r="BB28" i="41"/>
  <c r="BA28" i="41"/>
  <c r="AZ28" i="41"/>
  <c r="AX28" i="41"/>
  <c r="AW28" i="41"/>
  <c r="AV28" i="41"/>
  <c r="AT28" i="41"/>
  <c r="AS28" i="41"/>
  <c r="AR28" i="41"/>
  <c r="AP28" i="41"/>
  <c r="AO28" i="41"/>
  <c r="AN28" i="41"/>
  <c r="AL28" i="41"/>
  <c r="AK28" i="41"/>
  <c r="AJ28" i="41"/>
  <c r="AH28" i="41"/>
  <c r="AG28" i="41"/>
  <c r="DD27" i="41"/>
  <c r="DB27" i="41"/>
  <c r="DA27" i="41"/>
  <c r="CZ27" i="41"/>
  <c r="CX27" i="41"/>
  <c r="CW27" i="41"/>
  <c r="CV27" i="41"/>
  <c r="CT27" i="41"/>
  <c r="CS27" i="41"/>
  <c r="CR27" i="41"/>
  <c r="CP27" i="41"/>
  <c r="CO27" i="41"/>
  <c r="CN27" i="41"/>
  <c r="CL27" i="41"/>
  <c r="CK27" i="41"/>
  <c r="CJ27" i="41"/>
  <c r="CH27" i="41"/>
  <c r="CG27" i="41"/>
  <c r="CF27" i="41"/>
  <c r="CD27" i="41"/>
  <c r="CC27" i="41"/>
  <c r="CB27" i="41"/>
  <c r="BZ27" i="41"/>
  <c r="BY27" i="41"/>
  <c r="BX27" i="41"/>
  <c r="BV27" i="41"/>
  <c r="BU27" i="41"/>
  <c r="BT27" i="41"/>
  <c r="BR27" i="41"/>
  <c r="BQ27" i="41"/>
  <c r="BP27" i="41"/>
  <c r="BN27" i="41"/>
  <c r="BM27" i="41"/>
  <c r="BL27" i="41"/>
  <c r="BJ27" i="41"/>
  <c r="BI27" i="41"/>
  <c r="BH27" i="41"/>
  <c r="BF27" i="41"/>
  <c r="BE27" i="41"/>
  <c r="BD27" i="41"/>
  <c r="BB27" i="41"/>
  <c r="BA27" i="41"/>
  <c r="AZ27" i="41"/>
  <c r="AX27" i="41"/>
  <c r="AW27" i="41"/>
  <c r="AV27" i="41"/>
  <c r="AT27" i="41"/>
  <c r="AS27" i="41"/>
  <c r="AR27" i="41"/>
  <c r="AP27" i="41"/>
  <c r="AO27" i="41"/>
  <c r="AN27" i="41"/>
  <c r="AL27" i="41"/>
  <c r="AK27" i="41"/>
  <c r="AJ27" i="41"/>
  <c r="AH27" i="41"/>
  <c r="AG27" i="41"/>
  <c r="DD26" i="41"/>
  <c r="DB26" i="41"/>
  <c r="DA26" i="41"/>
  <c r="CZ26" i="41"/>
  <c r="CX26" i="41"/>
  <c r="CW26" i="41"/>
  <c r="CV26" i="41"/>
  <c r="CT26" i="41"/>
  <c r="CS26" i="41"/>
  <c r="CR26" i="41"/>
  <c r="CP26" i="41"/>
  <c r="CO26" i="41"/>
  <c r="CN26" i="41"/>
  <c r="CL26" i="41"/>
  <c r="CK26" i="41"/>
  <c r="CJ26" i="41"/>
  <c r="CH26" i="41"/>
  <c r="CG26" i="41"/>
  <c r="CF26" i="41"/>
  <c r="CD26" i="41"/>
  <c r="CC26" i="41"/>
  <c r="CB26" i="41"/>
  <c r="BZ26" i="41"/>
  <c r="BY26" i="41"/>
  <c r="BX26" i="41"/>
  <c r="BV26" i="41"/>
  <c r="BU26" i="41"/>
  <c r="BT26" i="41"/>
  <c r="BR26" i="41"/>
  <c r="BQ26" i="41"/>
  <c r="BP26" i="41"/>
  <c r="BN26" i="41"/>
  <c r="BM26" i="41"/>
  <c r="BL26" i="41"/>
  <c r="BJ26" i="41"/>
  <c r="BI26" i="41"/>
  <c r="BH26" i="41"/>
  <c r="BF26" i="41"/>
  <c r="BE26" i="41"/>
  <c r="BD26" i="41"/>
  <c r="BB26" i="41"/>
  <c r="BA26" i="41"/>
  <c r="AZ26" i="41"/>
  <c r="AX26" i="41"/>
  <c r="AW26" i="41"/>
  <c r="AV26" i="41"/>
  <c r="AT26" i="41"/>
  <c r="AS26" i="41"/>
  <c r="AR26" i="41"/>
  <c r="AP26" i="41"/>
  <c r="AO26" i="41"/>
  <c r="AN26" i="41"/>
  <c r="AL26" i="41"/>
  <c r="AK26" i="41"/>
  <c r="AJ26" i="41"/>
  <c r="AH26" i="41"/>
  <c r="AG26" i="41"/>
  <c r="DD22" i="41"/>
  <c r="DB22" i="41"/>
  <c r="DA22" i="41"/>
  <c r="CZ22" i="41"/>
  <c r="CX22" i="41"/>
  <c r="CW22" i="41"/>
  <c r="CV22" i="41"/>
  <c r="CT22" i="41"/>
  <c r="CS22" i="41"/>
  <c r="CR22" i="41"/>
  <c r="CP22" i="41"/>
  <c r="CO22" i="41"/>
  <c r="CN22" i="41"/>
  <c r="CL22" i="41"/>
  <c r="CK22" i="41"/>
  <c r="CJ22" i="41"/>
  <c r="CH22" i="41"/>
  <c r="CG22" i="41"/>
  <c r="CF22" i="41"/>
  <c r="CD22" i="41"/>
  <c r="CC22" i="41"/>
  <c r="CB22" i="41"/>
  <c r="BZ22" i="41"/>
  <c r="BY22" i="41"/>
  <c r="BX22" i="41"/>
  <c r="BV22" i="41"/>
  <c r="BU22" i="41"/>
  <c r="BT22" i="41"/>
  <c r="BR22" i="41"/>
  <c r="BQ22" i="41"/>
  <c r="BP22" i="41"/>
  <c r="BN22" i="41"/>
  <c r="BM22" i="41"/>
  <c r="BL22" i="41"/>
  <c r="BJ22" i="41"/>
  <c r="BI22" i="41"/>
  <c r="BH22" i="41"/>
  <c r="BF22" i="41"/>
  <c r="BE22" i="41"/>
  <c r="BD22" i="41"/>
  <c r="BB22" i="41"/>
  <c r="BA22" i="41"/>
  <c r="AZ22" i="41"/>
  <c r="AX22" i="41"/>
  <c r="AW22" i="41"/>
  <c r="AV22" i="41"/>
  <c r="AT22" i="41"/>
  <c r="AS22" i="41"/>
  <c r="AR22" i="41"/>
  <c r="AP22" i="41"/>
  <c r="AO22" i="41"/>
  <c r="AN22" i="41"/>
  <c r="AL22" i="41"/>
  <c r="AK22" i="41"/>
  <c r="AJ22" i="41"/>
  <c r="AH22" i="41"/>
  <c r="AG22" i="41"/>
  <c r="DD16" i="41"/>
  <c r="DB16" i="41"/>
  <c r="DA16" i="41"/>
  <c r="CZ16" i="41"/>
  <c r="CX16" i="41"/>
  <c r="CW16" i="41"/>
  <c r="CV16" i="41"/>
  <c r="CT16" i="41"/>
  <c r="CS16" i="41"/>
  <c r="CR16" i="41"/>
  <c r="CP16" i="41"/>
  <c r="CO16" i="41"/>
  <c r="CN16" i="41"/>
  <c r="CL16" i="41"/>
  <c r="CK16" i="41"/>
  <c r="CJ16" i="41"/>
  <c r="CH16" i="41"/>
  <c r="CG16" i="41"/>
  <c r="CF16" i="41"/>
  <c r="CD16" i="41"/>
  <c r="CC16" i="41"/>
  <c r="CB16" i="41"/>
  <c r="BZ16" i="41"/>
  <c r="BY16" i="41"/>
  <c r="BX16" i="41"/>
  <c r="BV16" i="41"/>
  <c r="BU16" i="41"/>
  <c r="BT16" i="41"/>
  <c r="BR16" i="41"/>
  <c r="BQ16" i="41"/>
  <c r="BP16" i="41"/>
  <c r="BN16" i="41"/>
  <c r="BM16" i="41"/>
  <c r="BL16" i="41"/>
  <c r="BJ16" i="41"/>
  <c r="BI16" i="41"/>
  <c r="BH16" i="41"/>
  <c r="BF16" i="41"/>
  <c r="BE16" i="41"/>
  <c r="BD16" i="41"/>
  <c r="BB16" i="41"/>
  <c r="BA16" i="41"/>
  <c r="AZ16" i="41"/>
  <c r="AX16" i="41"/>
  <c r="AW16" i="41"/>
  <c r="AV16" i="41"/>
  <c r="AT16" i="41"/>
  <c r="AS16" i="41"/>
  <c r="AR16" i="41"/>
  <c r="AP16" i="41"/>
  <c r="AO16" i="41"/>
  <c r="AN16" i="41"/>
  <c r="AL16" i="41"/>
  <c r="AK16" i="41"/>
  <c r="AJ16" i="41"/>
  <c r="AH16" i="41"/>
  <c r="AG16" i="41"/>
  <c r="DD15" i="41"/>
  <c r="DB15" i="41"/>
  <c r="DA15" i="41"/>
  <c r="CZ15" i="41"/>
  <c r="CX15" i="41"/>
  <c r="CW15" i="41"/>
  <c r="CV15" i="41"/>
  <c r="CT15" i="41"/>
  <c r="CS15" i="41"/>
  <c r="CR15" i="41"/>
  <c r="CP15" i="41"/>
  <c r="CO15" i="41"/>
  <c r="CN15" i="41"/>
  <c r="CL15" i="41"/>
  <c r="CK15" i="41"/>
  <c r="CJ15" i="41"/>
  <c r="CH15" i="41"/>
  <c r="CG15" i="41"/>
  <c r="CF15" i="41"/>
  <c r="CD15" i="41"/>
  <c r="CC15" i="41"/>
  <c r="CB15" i="41"/>
  <c r="BZ15" i="41"/>
  <c r="BY15" i="41"/>
  <c r="BX15" i="41"/>
  <c r="BV15" i="41"/>
  <c r="BU15" i="41"/>
  <c r="BT15" i="41"/>
  <c r="BR15" i="41"/>
  <c r="BQ15" i="41"/>
  <c r="BP15" i="41"/>
  <c r="BN15" i="41"/>
  <c r="BM15" i="41"/>
  <c r="BL15" i="41"/>
  <c r="BJ15" i="41"/>
  <c r="BI15" i="41"/>
  <c r="BH15" i="41"/>
  <c r="BF15" i="41"/>
  <c r="BE15" i="41"/>
  <c r="BD15" i="41"/>
  <c r="BB15" i="41"/>
  <c r="BA15" i="41"/>
  <c r="AZ15" i="41"/>
  <c r="AX15" i="41"/>
  <c r="AW15" i="41"/>
  <c r="AV15" i="41"/>
  <c r="AT15" i="41"/>
  <c r="AS15" i="41"/>
  <c r="AR15" i="41"/>
  <c r="AP15" i="41"/>
  <c r="AO15" i="41"/>
  <c r="AN15" i="41"/>
  <c r="AL15" i="41"/>
  <c r="AK15" i="41"/>
  <c r="AJ15" i="41"/>
  <c r="AH15" i="41"/>
  <c r="J8" i="41"/>
  <c r="J285" i="41" l="1"/>
  <c r="J287" i="41"/>
  <c r="J289" i="41"/>
  <c r="J284" i="41"/>
  <c r="J286" i="41"/>
  <c r="J288" i="41"/>
  <c r="Y32" i="44"/>
  <c r="Y33" i="44" s="1"/>
  <c r="Y35" i="44" s="1"/>
  <c r="AH32" i="44"/>
  <c r="AH33" i="44" s="1"/>
  <c r="AH35" i="44" s="1"/>
  <c r="G32" i="44"/>
  <c r="G33" i="44" s="1"/>
  <c r="J32" i="44"/>
  <c r="J33" i="44" s="1"/>
  <c r="J35" i="44" s="1"/>
  <c r="P30" i="44"/>
  <c r="P31" i="44" s="1"/>
  <c r="V32" i="44"/>
  <c r="V33" i="44" s="1"/>
  <c r="V35" i="44" s="1"/>
  <c r="AB32" i="44"/>
  <c r="AB33" i="44" s="1"/>
  <c r="AB35" i="44" s="1"/>
  <c r="AE32" i="44"/>
  <c r="AE33" i="44" s="1"/>
  <c r="AE35" i="44" s="1"/>
  <c r="S32" i="44"/>
  <c r="S33" i="44" s="1"/>
  <c r="S35" i="44" s="1"/>
  <c r="M32" i="44"/>
  <c r="M33" i="44" s="1"/>
  <c r="M35" i="44" s="1"/>
  <c r="I14" i="41"/>
  <c r="I133" i="41"/>
  <c r="I183" i="41"/>
  <c r="I187" i="41"/>
  <c r="I188" i="41"/>
  <c r="I193" i="41"/>
  <c r="I223" i="41"/>
  <c r="J224" i="41"/>
  <c r="I228" i="41"/>
  <c r="I78" i="41"/>
  <c r="I109" i="41"/>
  <c r="J178" i="41"/>
  <c r="I182" i="41"/>
  <c r="J189" i="41"/>
  <c r="I220" i="41"/>
  <c r="I224" i="41"/>
  <c r="I225" i="41"/>
  <c r="I229" i="41"/>
  <c r="I230" i="41"/>
  <c r="I93" i="41"/>
  <c r="I97" i="41"/>
  <c r="I151" i="41"/>
  <c r="J151" i="41"/>
  <c r="I152" i="41"/>
  <c r="I157" i="41"/>
  <c r="I219" i="41"/>
  <c r="I26" i="41"/>
  <c r="I24" i="41"/>
  <c r="I23" i="41"/>
  <c r="I22" i="41"/>
  <c r="I20" i="41"/>
  <c r="I19" i="41"/>
  <c r="I18" i="41"/>
  <c r="I50" i="41"/>
  <c r="I51" i="41"/>
  <c r="I52" i="41"/>
  <c r="I54" i="41"/>
  <c r="I55" i="41"/>
  <c r="I56" i="41"/>
  <c r="I58" i="41"/>
  <c r="I59" i="41"/>
  <c r="I60" i="41"/>
  <c r="I62" i="41"/>
  <c r="I88" i="41"/>
  <c r="I89" i="41"/>
  <c r="I91" i="41"/>
  <c r="I92" i="41"/>
  <c r="I95" i="41"/>
  <c r="I96" i="41"/>
  <c r="I99" i="41"/>
  <c r="I148" i="41"/>
  <c r="I71" i="41"/>
  <c r="I81" i="41"/>
  <c r="I105" i="41"/>
  <c r="I111" i="41"/>
  <c r="I114" i="41"/>
  <c r="I117" i="41"/>
  <c r="J148" i="41"/>
  <c r="I132" i="41"/>
  <c r="I141" i="41"/>
  <c r="I142" i="41"/>
  <c r="I146" i="41"/>
  <c r="I158" i="41"/>
  <c r="I184" i="41"/>
  <c r="J187" i="41"/>
  <c r="I192" i="41"/>
  <c r="I194" i="41"/>
  <c r="I143" i="41"/>
  <c r="I153" i="41"/>
  <c r="I156" i="41"/>
  <c r="I218" i="41"/>
  <c r="J225" i="41"/>
  <c r="J179" i="41"/>
  <c r="I128" i="41"/>
  <c r="I127" i="41"/>
  <c r="I131" i="41"/>
  <c r="I147" i="41"/>
  <c r="I189" i="41"/>
  <c r="K8" i="41"/>
  <c r="J133" i="41"/>
  <c r="J147" i="41"/>
  <c r="J146" i="41"/>
  <c r="J157" i="41"/>
  <c r="J156" i="41"/>
  <c r="J143" i="41"/>
  <c r="J142" i="41"/>
  <c r="J153" i="41"/>
  <c r="J152" i="41"/>
  <c r="J158" i="41"/>
  <c r="J182" i="41"/>
  <c r="J192" i="41"/>
  <c r="J218" i="41"/>
  <c r="J229" i="41"/>
  <c r="J228" i="41"/>
  <c r="J141" i="41"/>
  <c r="J184" i="41"/>
  <c r="J183" i="41"/>
  <c r="J194" i="41"/>
  <c r="J193" i="41"/>
  <c r="J220" i="41"/>
  <c r="J219" i="41"/>
  <c r="J230" i="41"/>
  <c r="J223" i="41"/>
  <c r="J188" i="41"/>
  <c r="J177" i="41"/>
  <c r="I33" i="41"/>
  <c r="I34" i="41"/>
  <c r="I36" i="41"/>
  <c r="I37" i="41"/>
  <c r="I38" i="41"/>
  <c r="I40" i="41"/>
  <c r="I41" i="41"/>
  <c r="I42" i="41"/>
  <c r="I44" i="41"/>
  <c r="I70" i="41"/>
  <c r="I73" i="41"/>
  <c r="I74" i="41"/>
  <c r="I75" i="41"/>
  <c r="I77" i="41"/>
  <c r="I79" i="41"/>
  <c r="I106" i="41"/>
  <c r="I107" i="41"/>
  <c r="I110" i="41"/>
  <c r="I113" i="41"/>
  <c r="I115" i="41"/>
  <c r="B135" i="41"/>
  <c r="AG7" i="41"/>
  <c r="K182" i="41" l="1"/>
  <c r="AG255" i="41"/>
  <c r="AI254" i="41"/>
  <c r="AJ253" i="41"/>
  <c r="AJ252" i="41"/>
  <c r="AJ255" i="41"/>
  <c r="AH254" i="41"/>
  <c r="AI253" i="41"/>
  <c r="AI252" i="41"/>
  <c r="AJ251" i="41"/>
  <c r="AH250" i="41"/>
  <c r="AI255" i="41"/>
  <c r="AH251" i="41"/>
  <c r="AI250" i="41"/>
  <c r="AJ249" i="41"/>
  <c r="AG248" i="41"/>
  <c r="AH247" i="41"/>
  <c r="AH255" i="41"/>
  <c r="AJ254" i="41"/>
  <c r="AG251" i="41"/>
  <c r="AG250" i="41"/>
  <c r="AI249" i="41"/>
  <c r="AJ248" i="41"/>
  <c r="AG247" i="41"/>
  <c r="AH246" i="41"/>
  <c r="AI277" i="41"/>
  <c r="AI276" i="41"/>
  <c r="AJ275" i="41"/>
  <c r="AG274" i="41"/>
  <c r="AH273" i="41"/>
  <c r="AG254" i="41"/>
  <c r="J254" i="41" s="1"/>
  <c r="AH253" i="41"/>
  <c r="AJ246" i="41"/>
  <c r="AH277" i="41"/>
  <c r="AH276" i="41"/>
  <c r="AI275" i="41"/>
  <c r="AH252" i="41"/>
  <c r="AH249" i="41"/>
  <c r="AI248" i="41"/>
  <c r="AJ247" i="41"/>
  <c r="AG246" i="41"/>
  <c r="AG275" i="41"/>
  <c r="AH274" i="41"/>
  <c r="AI251" i="41"/>
  <c r="AI246" i="41"/>
  <c r="AG276" i="41"/>
  <c r="AJ274" i="41"/>
  <c r="AJ273" i="41"/>
  <c r="AG272" i="41"/>
  <c r="AH271" i="41"/>
  <c r="AI270" i="41"/>
  <c r="AJ269" i="41"/>
  <c r="AG268" i="41"/>
  <c r="AG273" i="41"/>
  <c r="AG252" i="41"/>
  <c r="AG249" i="41"/>
  <c r="J249" i="41" s="1"/>
  <c r="AH248" i="41"/>
  <c r="AI247" i="41"/>
  <c r="AJ277" i="41"/>
  <c r="AI274" i="41"/>
  <c r="AI273" i="41"/>
  <c r="AJ272" i="41"/>
  <c r="AG271" i="41"/>
  <c r="AH270" i="41"/>
  <c r="AI269" i="41"/>
  <c r="AJ268" i="41"/>
  <c r="AG253" i="41"/>
  <c r="AJ250" i="41"/>
  <c r="AG277" i="41"/>
  <c r="J277" i="41" s="1"/>
  <c r="AH275" i="41"/>
  <c r="AI272" i="41"/>
  <c r="AJ276" i="41"/>
  <c r="AG270" i="41"/>
  <c r="AG269" i="41"/>
  <c r="AH268" i="41"/>
  <c r="AJ271" i="41"/>
  <c r="AH272" i="41"/>
  <c r="AI271" i="41"/>
  <c r="AJ270" i="41"/>
  <c r="AH269" i="41"/>
  <c r="AI268" i="41"/>
  <c r="AH280" i="41"/>
  <c r="AJ280" i="41"/>
  <c r="AJ281" i="41"/>
  <c r="AJ282" i="41"/>
  <c r="AJ283" i="41"/>
  <c r="AG281" i="41"/>
  <c r="AG282" i="41"/>
  <c r="AG283" i="41"/>
  <c r="AG280" i="41"/>
  <c r="AH281" i="41"/>
  <c r="AH282" i="41"/>
  <c r="AH283" i="41"/>
  <c r="AI281" i="41"/>
  <c r="AI280" i="41"/>
  <c r="AI283" i="41"/>
  <c r="AI282" i="41"/>
  <c r="AI109" i="41"/>
  <c r="AI55" i="41"/>
  <c r="AI131" i="41"/>
  <c r="AI132" i="41"/>
  <c r="AI89" i="41"/>
  <c r="AI110" i="41"/>
  <c r="AI88" i="41"/>
  <c r="AI54" i="41"/>
  <c r="AJ132" i="41"/>
  <c r="AG109" i="41"/>
  <c r="AJ89" i="41"/>
  <c r="AJ88" i="41"/>
  <c r="AG55" i="41"/>
  <c r="AH54" i="41"/>
  <c r="AG132" i="41"/>
  <c r="AH131" i="41"/>
  <c r="AG89" i="41"/>
  <c r="AJ55" i="41"/>
  <c r="AG131" i="41"/>
  <c r="AG110" i="41"/>
  <c r="AH55" i="41"/>
  <c r="AH132" i="41"/>
  <c r="AJ131" i="41"/>
  <c r="AJ110" i="41"/>
  <c r="AH89" i="41"/>
  <c r="AH88" i="41"/>
  <c r="AG54" i="41"/>
  <c r="AH110" i="41"/>
  <c r="AJ109" i="41"/>
  <c r="AG88" i="41"/>
  <c r="AH109" i="41"/>
  <c r="AJ54" i="41"/>
  <c r="AH262" i="41"/>
  <c r="AH263" i="41"/>
  <c r="AH264" i="41"/>
  <c r="AH265" i="41"/>
  <c r="AH266" i="41"/>
  <c r="AI262" i="41"/>
  <c r="AJ262" i="41"/>
  <c r="AG263" i="41"/>
  <c r="AJ265" i="41"/>
  <c r="AI266" i="41"/>
  <c r="AI267" i="41"/>
  <c r="AI263" i="41"/>
  <c r="AG264" i="41"/>
  <c r="AJ266" i="41"/>
  <c r="AJ267" i="41"/>
  <c r="AJ263" i="41"/>
  <c r="AI264" i="41"/>
  <c r="AG265" i="41"/>
  <c r="AG267" i="41"/>
  <c r="AH267" i="41"/>
  <c r="AH242" i="41"/>
  <c r="AI265" i="41"/>
  <c r="AI242" i="41"/>
  <c r="AJ242" i="41"/>
  <c r="AG243" i="41"/>
  <c r="AH244" i="41"/>
  <c r="AI245" i="41"/>
  <c r="AG266" i="41"/>
  <c r="AG262" i="41"/>
  <c r="AJ244" i="41"/>
  <c r="AJ264" i="41"/>
  <c r="AG242" i="41"/>
  <c r="AH243" i="41"/>
  <c r="AG244" i="41"/>
  <c r="AG245" i="41"/>
  <c r="AJ243" i="41"/>
  <c r="AJ245" i="41"/>
  <c r="AI243" i="41"/>
  <c r="AI244" i="41"/>
  <c r="AH245" i="41"/>
  <c r="K284" i="41"/>
  <c r="K286" i="41"/>
  <c r="K288" i="41"/>
  <c r="K285" i="41"/>
  <c r="K287" i="41"/>
  <c r="K289" i="41"/>
  <c r="AI258" i="41"/>
  <c r="AG259" i="41"/>
  <c r="AI260" i="41"/>
  <c r="AG261" i="41"/>
  <c r="AJ258" i="41"/>
  <c r="AH259" i="41"/>
  <c r="AJ260" i="41"/>
  <c r="AH261" i="41"/>
  <c r="AG258" i="41"/>
  <c r="AI259" i="41"/>
  <c r="AG260" i="41"/>
  <c r="AH258" i="41"/>
  <c r="AJ259" i="41"/>
  <c r="AH260" i="41"/>
  <c r="AJ261" i="41"/>
  <c r="AI261" i="41"/>
  <c r="AJ236" i="41"/>
  <c r="AH237" i="41"/>
  <c r="AJ238" i="41"/>
  <c r="AH239" i="41"/>
  <c r="AH236" i="41"/>
  <c r="AJ237" i="41"/>
  <c r="AH238" i="41"/>
  <c r="AJ239" i="41"/>
  <c r="AI237" i="41"/>
  <c r="AG238" i="41"/>
  <c r="AI240" i="41"/>
  <c r="AG241" i="41"/>
  <c r="AI238" i="41"/>
  <c r="AG239" i="41"/>
  <c r="AJ240" i="41"/>
  <c r="AH241" i="41"/>
  <c r="AG236" i="41"/>
  <c r="AI239" i="41"/>
  <c r="AG240" i="41"/>
  <c r="AI241" i="41"/>
  <c r="AI236" i="41"/>
  <c r="AG237" i="41"/>
  <c r="AH240" i="41"/>
  <c r="AJ241" i="41"/>
  <c r="K178" i="41"/>
  <c r="I7" i="45"/>
  <c r="G7" i="45"/>
  <c r="AI199" i="41"/>
  <c r="AI167" i="41"/>
  <c r="AI127" i="41"/>
  <c r="AI106" i="41"/>
  <c r="AI93" i="41"/>
  <c r="AI75" i="41"/>
  <c r="AI51" i="41"/>
  <c r="AI38" i="41"/>
  <c r="AI20" i="41"/>
  <c r="AI205" i="41"/>
  <c r="AI162" i="41"/>
  <c r="AI128" i="41"/>
  <c r="AI105" i="41"/>
  <c r="AI97" i="41"/>
  <c r="AI91" i="41"/>
  <c r="AI78" i="41"/>
  <c r="AI37" i="41"/>
  <c r="AI32" i="41"/>
  <c r="AI24" i="41"/>
  <c r="AI18" i="41"/>
  <c r="AI203" i="41"/>
  <c r="AI74" i="41"/>
  <c r="AI69" i="41"/>
  <c r="AI41" i="41"/>
  <c r="AI204" i="41"/>
  <c r="AI73" i="41"/>
  <c r="AI198" i="41"/>
  <c r="AI96" i="41"/>
  <c r="AI50" i="41"/>
  <c r="AI42" i="41"/>
  <c r="AI23" i="41"/>
  <c r="AI92" i="41"/>
  <c r="AI36" i="41"/>
  <c r="AI19" i="41"/>
  <c r="AI168" i="41"/>
  <c r="AI87" i="41"/>
  <c r="AI14" i="41"/>
  <c r="AI163" i="41"/>
  <c r="AI126" i="41"/>
  <c r="AG97" i="41"/>
  <c r="AJ24" i="41"/>
  <c r="AJ97" i="41"/>
  <c r="AH24" i="41"/>
  <c r="AG24" i="41"/>
  <c r="AH97" i="41"/>
  <c r="AG18" i="41"/>
  <c r="AH205" i="41"/>
  <c r="AH200" i="41"/>
  <c r="AG205" i="41"/>
  <c r="AH203" i="41"/>
  <c r="AG200" i="41"/>
  <c r="AH198" i="41"/>
  <c r="AJ205" i="41"/>
  <c r="AJ203" i="41"/>
  <c r="AJ200" i="41"/>
  <c r="AG199" i="41"/>
  <c r="AJ198" i="41"/>
  <c r="AH167" i="41"/>
  <c r="AG164" i="41"/>
  <c r="AJ162" i="41"/>
  <c r="AG198" i="41"/>
  <c r="AG169" i="41"/>
  <c r="AJ167" i="41"/>
  <c r="AJ164" i="41"/>
  <c r="AH162" i="41"/>
  <c r="AG162" i="41"/>
  <c r="AH126" i="41"/>
  <c r="AH169" i="41"/>
  <c r="AG128" i="41"/>
  <c r="AJ126" i="41"/>
  <c r="AH106" i="41"/>
  <c r="AG105" i="41"/>
  <c r="AG96" i="41"/>
  <c r="AH105" i="41"/>
  <c r="AJ169" i="41"/>
  <c r="AG167" i="41"/>
  <c r="AG126" i="41"/>
  <c r="AG203" i="41"/>
  <c r="AH164" i="41"/>
  <c r="AH128" i="41"/>
  <c r="AH127" i="41"/>
  <c r="AG93" i="41"/>
  <c r="AG92" i="41"/>
  <c r="AG91" i="41"/>
  <c r="AJ87" i="41"/>
  <c r="AJ96" i="41"/>
  <c r="AJ93" i="41"/>
  <c r="AJ92" i="41"/>
  <c r="AJ91" i="41"/>
  <c r="AJ127" i="41"/>
  <c r="AJ106" i="41"/>
  <c r="AJ105" i="41"/>
  <c r="AH93" i="41"/>
  <c r="AH92" i="41"/>
  <c r="AH91" i="41"/>
  <c r="AG87" i="41"/>
  <c r="AG78" i="41"/>
  <c r="AG75" i="41"/>
  <c r="AG74" i="41"/>
  <c r="AG73" i="41"/>
  <c r="AJ69" i="41"/>
  <c r="AH50" i="41"/>
  <c r="AJ75" i="41"/>
  <c r="AJ73" i="41"/>
  <c r="AJ51" i="41"/>
  <c r="AJ50" i="41"/>
  <c r="AH87" i="41"/>
  <c r="AH75" i="41"/>
  <c r="AH69" i="41"/>
  <c r="AH51" i="41"/>
  <c r="AG42" i="41"/>
  <c r="AG41" i="41"/>
  <c r="AG38" i="41"/>
  <c r="AG37" i="41"/>
  <c r="AH78" i="41"/>
  <c r="AH74" i="41"/>
  <c r="AH42" i="41"/>
  <c r="AH41" i="41"/>
  <c r="AH38" i="41"/>
  <c r="AH96" i="41"/>
  <c r="AJ78" i="41"/>
  <c r="AJ38" i="41"/>
  <c r="AH37" i="41"/>
  <c r="AH73" i="41"/>
  <c r="AJ42" i="41"/>
  <c r="AH36" i="41"/>
  <c r="AJ23" i="41"/>
  <c r="AH18" i="41"/>
  <c r="AJ41" i="41"/>
  <c r="AJ36" i="41"/>
  <c r="AJ32" i="41"/>
  <c r="AG20" i="41"/>
  <c r="AH19" i="41"/>
  <c r="AJ18" i="41"/>
  <c r="AJ128" i="41"/>
  <c r="AH32" i="41"/>
  <c r="AJ74" i="41"/>
  <c r="AJ37" i="41"/>
  <c r="AG32" i="41"/>
  <c r="AH23" i="41"/>
  <c r="AJ20" i="41"/>
  <c r="AG50" i="41"/>
  <c r="AG23" i="41"/>
  <c r="AH20" i="41"/>
  <c r="AJ19" i="41"/>
  <c r="AG19" i="41"/>
  <c r="L8" i="41"/>
  <c r="K230" i="41"/>
  <c r="K194" i="41"/>
  <c r="K192" i="41"/>
  <c r="K157" i="41"/>
  <c r="K225" i="41"/>
  <c r="G36" i="44"/>
  <c r="G35" i="44"/>
  <c r="V36" i="44"/>
  <c r="V37" i="44"/>
  <c r="V38" i="44"/>
  <c r="AE36" i="44"/>
  <c r="AE38" i="44"/>
  <c r="AE37" i="44"/>
  <c r="AH38" i="44"/>
  <c r="AH36" i="44"/>
  <c r="AH37" i="44"/>
  <c r="AB36" i="44"/>
  <c r="AB38" i="44"/>
  <c r="AB37" i="44"/>
  <c r="J38" i="44"/>
  <c r="J36" i="44"/>
  <c r="J37" i="44"/>
  <c r="Y37" i="44"/>
  <c r="Y38" i="44"/>
  <c r="Y36" i="44"/>
  <c r="M36" i="44"/>
  <c r="M37" i="44"/>
  <c r="M38" i="44"/>
  <c r="S38" i="44"/>
  <c r="S37" i="44"/>
  <c r="S36" i="44"/>
  <c r="P32" i="44"/>
  <c r="P33" i="44" s="1"/>
  <c r="P35" i="44" s="1"/>
  <c r="G37" i="44"/>
  <c r="G38" i="44"/>
  <c r="K148" i="41"/>
  <c r="K184" i="41"/>
  <c r="K188" i="41"/>
  <c r="K220" i="41"/>
  <c r="K229" i="41"/>
  <c r="K158" i="41"/>
  <c r="K143" i="41"/>
  <c r="K147" i="41"/>
  <c r="K223" i="41"/>
  <c r="K141" i="41"/>
  <c r="K218" i="41"/>
  <c r="K133" i="41"/>
  <c r="K151" i="41"/>
  <c r="K153" i="41"/>
  <c r="K146" i="41"/>
  <c r="K156" i="41"/>
  <c r="K183" i="41"/>
  <c r="K193" i="41"/>
  <c r="K219" i="41"/>
  <c r="K152" i="41"/>
  <c r="K177" i="41"/>
  <c r="K187" i="41"/>
  <c r="K142" i="41"/>
  <c r="K228" i="41"/>
  <c r="K224" i="41"/>
  <c r="K179" i="41"/>
  <c r="K189" i="41"/>
  <c r="AH14" i="41"/>
  <c r="AJ14" i="41"/>
  <c r="AG14" i="41"/>
  <c r="I136" i="41"/>
  <c r="AK7" i="41"/>
  <c r="B294" i="41"/>
  <c r="B227" i="41"/>
  <c r="B222" i="41"/>
  <c r="B217" i="41"/>
  <c r="B212" i="41"/>
  <c r="B207" i="41"/>
  <c r="B202" i="41"/>
  <c r="B197" i="41"/>
  <c r="B191" i="41"/>
  <c r="B186" i="41"/>
  <c r="B181" i="41"/>
  <c r="B176" i="41"/>
  <c r="B171" i="41"/>
  <c r="B166" i="41"/>
  <c r="B161" i="41"/>
  <c r="B155" i="41"/>
  <c r="B150" i="41"/>
  <c r="B145" i="41"/>
  <c r="B140" i="41"/>
  <c r="B130" i="41"/>
  <c r="B125" i="41"/>
  <c r="B103" i="41"/>
  <c r="B85" i="41"/>
  <c r="B67" i="41"/>
  <c r="B48" i="41"/>
  <c r="B30" i="41"/>
  <c r="B12" i="41"/>
  <c r="J280" i="41" l="1"/>
  <c r="J270" i="41"/>
  <c r="J246" i="41"/>
  <c r="J274" i="41"/>
  <c r="J250" i="41"/>
  <c r="J283" i="41"/>
  <c r="J272" i="41"/>
  <c r="J131" i="41"/>
  <c r="J247" i="41"/>
  <c r="J281" i="41"/>
  <c r="J253" i="41"/>
  <c r="J271" i="41"/>
  <c r="J252" i="41"/>
  <c r="AK255" i="41"/>
  <c r="AM254" i="41"/>
  <c r="AN253" i="41"/>
  <c r="AN252" i="41"/>
  <c r="AN255" i="41"/>
  <c r="AL254" i="41"/>
  <c r="AM253" i="41"/>
  <c r="AM252" i="41"/>
  <c r="AN251" i="41"/>
  <c r="AL250" i="41"/>
  <c r="AK254" i="41"/>
  <c r="AL253" i="41"/>
  <c r="AL252" i="41"/>
  <c r="AM251" i="41"/>
  <c r="AN250" i="41"/>
  <c r="AN249" i="41"/>
  <c r="AK248" i="41"/>
  <c r="AL247" i="41"/>
  <c r="AK253" i="41"/>
  <c r="AK252" i="41"/>
  <c r="AL251" i="41"/>
  <c r="AM250" i="41"/>
  <c r="AM249" i="41"/>
  <c r="AN248" i="41"/>
  <c r="AK247" i="41"/>
  <c r="AL246" i="41"/>
  <c r="AM277" i="41"/>
  <c r="AM276" i="41"/>
  <c r="AN275" i="41"/>
  <c r="AK274" i="41"/>
  <c r="AL273" i="41"/>
  <c r="AM255" i="41"/>
  <c r="AK251" i="41"/>
  <c r="K251" i="41" s="1"/>
  <c r="AK250" i="41"/>
  <c r="AL249" i="41"/>
  <c r="AM248" i="41"/>
  <c r="AN247" i="41"/>
  <c r="AN277" i="41"/>
  <c r="AN276" i="41"/>
  <c r="AM246" i="41"/>
  <c r="AK277" i="41"/>
  <c r="AK276" i="41"/>
  <c r="AL275" i="41"/>
  <c r="AM274" i="41"/>
  <c r="AL255" i="41"/>
  <c r="AK249" i="41"/>
  <c r="AL248" i="41"/>
  <c r="AM247" i="41"/>
  <c r="AL277" i="41"/>
  <c r="AM275" i="41"/>
  <c r="AK272" i="41"/>
  <c r="AL271" i="41"/>
  <c r="AM270" i="41"/>
  <c r="AN269" i="41"/>
  <c r="AK268" i="41"/>
  <c r="AK275" i="41"/>
  <c r="AN273" i="41"/>
  <c r="AN272" i="41"/>
  <c r="AK271" i="41"/>
  <c r="AL270" i="41"/>
  <c r="AM269" i="41"/>
  <c r="AN268" i="41"/>
  <c r="AN246" i="41"/>
  <c r="AL276" i="41"/>
  <c r="AN274" i="41"/>
  <c r="AM273" i="41"/>
  <c r="AM272" i="41"/>
  <c r="AK273" i="41"/>
  <c r="AM271" i="41"/>
  <c r="AN270" i="41"/>
  <c r="AN254" i="41"/>
  <c r="AK246" i="41"/>
  <c r="AL272" i="41"/>
  <c r="AK270" i="41"/>
  <c r="AL269" i="41"/>
  <c r="AM268" i="41"/>
  <c r="AL274" i="41"/>
  <c r="AK269" i="41"/>
  <c r="AL268" i="41"/>
  <c r="AN271" i="41"/>
  <c r="AL280" i="41"/>
  <c r="AN281" i="41"/>
  <c r="AN282" i="41"/>
  <c r="AN283" i="41"/>
  <c r="AK280" i="41"/>
  <c r="AK281" i="41"/>
  <c r="AK282" i="41"/>
  <c r="AK283" i="41"/>
  <c r="AM280" i="41"/>
  <c r="AL281" i="41"/>
  <c r="AL282" i="41"/>
  <c r="AL283" i="41"/>
  <c r="AM282" i="41"/>
  <c r="AM281" i="41"/>
  <c r="AN280" i="41"/>
  <c r="AM283" i="41"/>
  <c r="AM109" i="41"/>
  <c r="AM89" i="41"/>
  <c r="AM55" i="41"/>
  <c r="AM131" i="41"/>
  <c r="AM110" i="41"/>
  <c r="AM88" i="41"/>
  <c r="AM132" i="41"/>
  <c r="AM54" i="41"/>
  <c r="AK110" i="41"/>
  <c r="AL109" i="41"/>
  <c r="AL55" i="41"/>
  <c r="AN54" i="41"/>
  <c r="AL132" i="41"/>
  <c r="AN110" i="41"/>
  <c r="AL89" i="41"/>
  <c r="AL88" i="41"/>
  <c r="AK54" i="41"/>
  <c r="AK132" i="41"/>
  <c r="AN109" i="41"/>
  <c r="AK89" i="41"/>
  <c r="AK88" i="41"/>
  <c r="AN132" i="41"/>
  <c r="AK109" i="41"/>
  <c r="AN89" i="41"/>
  <c r="AN88" i="41"/>
  <c r="AK55" i="41"/>
  <c r="AL54" i="41"/>
  <c r="AN131" i="41"/>
  <c r="AL131" i="41"/>
  <c r="AL110" i="41"/>
  <c r="AN55" i="41"/>
  <c r="J268" i="41"/>
  <c r="J132" i="41"/>
  <c r="J282" i="41"/>
  <c r="J251" i="41"/>
  <c r="J248" i="41"/>
  <c r="J269" i="41"/>
  <c r="J273" i="41"/>
  <c r="J276" i="41"/>
  <c r="J275" i="41"/>
  <c r="J255" i="41"/>
  <c r="AJ120" i="41"/>
  <c r="O17" i="49"/>
  <c r="O33" i="49" s="1"/>
  <c r="AI120" i="41"/>
  <c r="AH120" i="41"/>
  <c r="AI290" i="41"/>
  <c r="AJ290" i="41"/>
  <c r="AH290" i="41"/>
  <c r="AG290" i="41"/>
  <c r="J242" i="41"/>
  <c r="J266" i="41"/>
  <c r="J262" i="41"/>
  <c r="J263" i="41"/>
  <c r="J245" i="41"/>
  <c r="J267" i="41"/>
  <c r="J244" i="41"/>
  <c r="J265" i="41"/>
  <c r="AL262" i="41"/>
  <c r="AL263" i="41"/>
  <c r="AL264" i="41"/>
  <c r="AL265" i="41"/>
  <c r="AL266" i="41"/>
  <c r="AM262" i="41"/>
  <c r="AN262" i="41"/>
  <c r="AK262" i="41"/>
  <c r="AM263" i="41"/>
  <c r="AK264" i="41"/>
  <c r="AN266" i="41"/>
  <c r="AM267" i="41"/>
  <c r="AN263" i="41"/>
  <c r="AM264" i="41"/>
  <c r="AK265" i="41"/>
  <c r="AN267" i="41"/>
  <c r="AN264" i="41"/>
  <c r="AM265" i="41"/>
  <c r="AK266" i="41"/>
  <c r="AK267" i="41"/>
  <c r="AM266" i="41"/>
  <c r="AL242" i="41"/>
  <c r="AK263" i="41"/>
  <c r="AL267" i="41"/>
  <c r="AM242" i="41"/>
  <c r="AN265" i="41"/>
  <c r="AN242" i="41"/>
  <c r="AK243" i="41"/>
  <c r="AL244" i="41"/>
  <c r="AM245" i="41"/>
  <c r="AL243" i="41"/>
  <c r="AK244" i="41"/>
  <c r="AK245" i="41"/>
  <c r="AM243" i="41"/>
  <c r="AM244" i="41"/>
  <c r="AL245" i="41"/>
  <c r="AK242" i="41"/>
  <c r="AN243" i="41"/>
  <c r="AN244" i="41"/>
  <c r="AN245" i="41"/>
  <c r="J243" i="41"/>
  <c r="J264" i="41"/>
  <c r="J258" i="41"/>
  <c r="L284" i="41"/>
  <c r="L286" i="41"/>
  <c r="L288" i="41"/>
  <c r="L285" i="41"/>
  <c r="L287" i="41"/>
  <c r="L289" i="41"/>
  <c r="AM258" i="41"/>
  <c r="AK259" i="41"/>
  <c r="AM260" i="41"/>
  <c r="AK261" i="41"/>
  <c r="AN258" i="41"/>
  <c r="AL259" i="41"/>
  <c r="AN260" i="41"/>
  <c r="AL261" i="41"/>
  <c r="AK258" i="41"/>
  <c r="AM259" i="41"/>
  <c r="AK260" i="41"/>
  <c r="AL258" i="41"/>
  <c r="AN259" i="41"/>
  <c r="AL260" i="41"/>
  <c r="AN261" i="41"/>
  <c r="AM261" i="41"/>
  <c r="J259" i="41"/>
  <c r="J237" i="41"/>
  <c r="J261" i="41"/>
  <c r="J260" i="41"/>
  <c r="J240" i="41"/>
  <c r="J239" i="41"/>
  <c r="J238" i="41"/>
  <c r="AN236" i="41"/>
  <c r="AL237" i="41"/>
  <c r="AN238" i="41"/>
  <c r="AL239" i="41"/>
  <c r="AL236" i="41"/>
  <c r="AN237" i="41"/>
  <c r="AL238" i="41"/>
  <c r="AN239" i="41"/>
  <c r="AK236" i="41"/>
  <c r="AM239" i="41"/>
  <c r="AM240" i="41"/>
  <c r="AK241" i="41"/>
  <c r="AM236" i="41"/>
  <c r="AK237" i="41"/>
  <c r="AN240" i="41"/>
  <c r="AM237" i="41"/>
  <c r="AK238" i="41"/>
  <c r="AK240" i="41"/>
  <c r="AM241" i="41"/>
  <c r="AN241" i="41"/>
  <c r="AM238" i="41"/>
  <c r="AK239" i="41"/>
  <c r="AL240" i="41"/>
  <c r="AL241" i="41"/>
  <c r="L157" i="41"/>
  <c r="J236" i="41"/>
  <c r="J241" i="41"/>
  <c r="L143" i="41"/>
  <c r="L189" i="41"/>
  <c r="L230" i="41"/>
  <c r="L225" i="41"/>
  <c r="L151" i="41"/>
  <c r="L141" i="41"/>
  <c r="L229" i="41"/>
  <c r="L224" i="41"/>
  <c r="L148" i="41"/>
  <c r="M8" i="41"/>
  <c r="M223" i="41" s="1"/>
  <c r="L218" i="41"/>
  <c r="L156" i="41"/>
  <c r="AH39" i="44"/>
  <c r="AH59" i="44" s="1"/>
  <c r="AM203" i="41"/>
  <c r="AM168" i="41"/>
  <c r="AM126" i="41"/>
  <c r="AM105" i="41"/>
  <c r="AM97" i="41"/>
  <c r="AM92" i="41"/>
  <c r="AM87" i="41"/>
  <c r="AM74" i="41"/>
  <c r="AM69" i="41"/>
  <c r="AM50" i="41"/>
  <c r="AM42" i="41"/>
  <c r="AM37" i="41"/>
  <c r="AM32" i="41"/>
  <c r="AM24" i="41"/>
  <c r="AM19" i="41"/>
  <c r="AM14" i="41"/>
  <c r="AM198" i="41"/>
  <c r="AM162" i="41"/>
  <c r="AM127" i="41"/>
  <c r="AM73" i="41"/>
  <c r="AM36" i="41"/>
  <c r="AM20" i="41"/>
  <c r="AM204" i="41"/>
  <c r="AM167" i="41"/>
  <c r="AM91" i="41"/>
  <c r="AM23" i="41"/>
  <c r="AM199" i="41"/>
  <c r="AM106" i="41"/>
  <c r="AM96" i="41"/>
  <c r="AM51" i="41"/>
  <c r="AM41" i="41"/>
  <c r="AM78" i="41"/>
  <c r="AM18" i="41"/>
  <c r="AM163" i="41"/>
  <c r="AM93" i="41"/>
  <c r="AM38" i="41"/>
  <c r="AM75" i="41"/>
  <c r="AL97" i="41"/>
  <c r="AL24" i="41"/>
  <c r="AN97" i="41"/>
  <c r="AK97" i="41"/>
  <c r="AN24" i="41"/>
  <c r="AK24" i="41"/>
  <c r="AM205" i="41"/>
  <c r="AL205" i="41"/>
  <c r="AK204" i="41"/>
  <c r="AL203" i="41"/>
  <c r="AL200" i="41"/>
  <c r="AK199" i="41"/>
  <c r="AL198" i="41"/>
  <c r="AN205" i="41"/>
  <c r="AN203" i="41"/>
  <c r="AN200" i="41"/>
  <c r="AN198" i="41"/>
  <c r="AN169" i="41"/>
  <c r="AL167" i="41"/>
  <c r="AK164" i="41"/>
  <c r="AK163" i="41"/>
  <c r="AN162" i="41"/>
  <c r="AK200" i="41"/>
  <c r="AL169" i="41"/>
  <c r="AK203" i="41"/>
  <c r="AK169" i="41"/>
  <c r="AN167" i="41"/>
  <c r="AL162" i="41"/>
  <c r="AN128" i="41"/>
  <c r="AL126" i="41"/>
  <c r="AK198" i="41"/>
  <c r="AK167" i="41"/>
  <c r="AL164" i="41"/>
  <c r="AK128" i="41"/>
  <c r="AN126" i="41"/>
  <c r="AL106" i="41"/>
  <c r="AK105" i="41"/>
  <c r="AK96" i="41"/>
  <c r="AN96" i="41"/>
  <c r="AL128" i="41"/>
  <c r="AK205" i="41"/>
  <c r="AK126" i="41"/>
  <c r="AN106" i="41"/>
  <c r="AN105" i="41"/>
  <c r="AL96" i="41"/>
  <c r="AK93" i="41"/>
  <c r="AK92" i="41"/>
  <c r="AK91" i="41"/>
  <c r="AN87" i="41"/>
  <c r="AN93" i="41"/>
  <c r="AN92" i="41"/>
  <c r="AN91" i="41"/>
  <c r="AK162" i="41"/>
  <c r="AL93" i="41"/>
  <c r="AL92" i="41"/>
  <c r="AL91" i="41"/>
  <c r="AK87" i="41"/>
  <c r="AK78" i="41"/>
  <c r="AK75" i="41"/>
  <c r="AK74" i="41"/>
  <c r="AK73" i="41"/>
  <c r="AN69" i="41"/>
  <c r="AL50" i="41"/>
  <c r="AK106" i="41"/>
  <c r="AL87" i="41"/>
  <c r="AN78" i="41"/>
  <c r="AN74" i="41"/>
  <c r="AL42" i="41"/>
  <c r="AL41" i="41"/>
  <c r="AL38" i="41"/>
  <c r="AL78" i="41"/>
  <c r="AL74" i="41"/>
  <c r="AN73" i="41"/>
  <c r="AN51" i="41"/>
  <c r="AN50" i="41"/>
  <c r="AK42" i="41"/>
  <c r="AK41" i="41"/>
  <c r="AK38" i="41"/>
  <c r="AK37" i="41"/>
  <c r="AK36" i="41"/>
  <c r="AL105" i="41"/>
  <c r="AL75" i="41"/>
  <c r="AL73" i="41"/>
  <c r="AK69" i="41"/>
  <c r="AK51" i="41"/>
  <c r="AK50" i="41"/>
  <c r="AN20" i="41"/>
  <c r="AL37" i="41"/>
  <c r="AL19" i="41"/>
  <c r="AN164" i="41"/>
  <c r="AN75" i="41"/>
  <c r="AL51" i="41"/>
  <c r="AN42" i="41"/>
  <c r="AN37" i="41"/>
  <c r="AK23" i="41"/>
  <c r="AL20" i="41"/>
  <c r="AN19" i="41"/>
  <c r="AL69" i="41"/>
  <c r="AN38" i="41"/>
  <c r="AN36" i="41"/>
  <c r="AL32" i="41"/>
  <c r="AN23" i="41"/>
  <c r="AK19" i="41"/>
  <c r="AL18" i="41"/>
  <c r="AN41" i="41"/>
  <c r="AL36" i="41"/>
  <c r="AK32" i="41"/>
  <c r="AL23" i="41"/>
  <c r="AK18" i="41"/>
  <c r="AN32" i="41"/>
  <c r="AK20" i="41"/>
  <c r="AN18" i="41"/>
  <c r="L228" i="41"/>
  <c r="L223" i="41"/>
  <c r="L146" i="41"/>
  <c r="L194" i="41"/>
  <c r="L152" i="41"/>
  <c r="L158" i="41"/>
  <c r="L133" i="41"/>
  <c r="L219" i="41"/>
  <c r="L153" i="41"/>
  <c r="L142" i="41"/>
  <c r="L220" i="41"/>
  <c r="L147" i="41"/>
  <c r="AB39" i="44"/>
  <c r="AB59" i="44" s="1"/>
  <c r="S39" i="44"/>
  <c r="S59" i="44" s="1"/>
  <c r="AE39" i="44"/>
  <c r="AE59" i="44" s="1"/>
  <c r="Y39" i="44"/>
  <c r="Y59" i="44" s="1"/>
  <c r="J39" i="44"/>
  <c r="J59" i="44" s="1"/>
  <c r="V39" i="44"/>
  <c r="V59" i="44" s="1"/>
  <c r="M39" i="44"/>
  <c r="M59" i="44" s="1"/>
  <c r="G39" i="44"/>
  <c r="G59" i="44" s="1"/>
  <c r="P36" i="44"/>
  <c r="P38" i="44"/>
  <c r="P37" i="44"/>
  <c r="I215" i="41"/>
  <c r="I210" i="41"/>
  <c r="I205" i="41"/>
  <c r="AJ204" i="41"/>
  <c r="AH204" i="41"/>
  <c r="I174" i="41"/>
  <c r="J205" i="41"/>
  <c r="J162" i="41"/>
  <c r="J173" i="41"/>
  <c r="J91" i="41"/>
  <c r="J26" i="41"/>
  <c r="J23" i="41"/>
  <c r="J128" i="41"/>
  <c r="J74" i="41"/>
  <c r="J114" i="41"/>
  <c r="J137" i="41"/>
  <c r="J117" i="41"/>
  <c r="J37" i="41"/>
  <c r="J54" i="41"/>
  <c r="J64" i="41"/>
  <c r="J101" i="41"/>
  <c r="J105" i="41"/>
  <c r="J167" i="41"/>
  <c r="J59" i="41"/>
  <c r="J75" i="41"/>
  <c r="J215" i="41"/>
  <c r="J18" i="41"/>
  <c r="J41" i="41"/>
  <c r="J55" i="41"/>
  <c r="J60" i="41"/>
  <c r="J79" i="41"/>
  <c r="J92" i="41"/>
  <c r="J93" i="41"/>
  <c r="J138" i="41"/>
  <c r="J209" i="41"/>
  <c r="J174" i="41"/>
  <c r="J198" i="41"/>
  <c r="J203" i="41"/>
  <c r="J210" i="41"/>
  <c r="J213" i="41"/>
  <c r="J20" i="41"/>
  <c r="J19" i="41"/>
  <c r="J32" i="41"/>
  <c r="J45" i="41"/>
  <c r="J63" i="41"/>
  <c r="J42" i="41"/>
  <c r="J50" i="41"/>
  <c r="J56" i="41"/>
  <c r="J62" i="41"/>
  <c r="J78" i="41"/>
  <c r="J73" i="41"/>
  <c r="J99" i="41"/>
  <c r="J87" i="41"/>
  <c r="J95" i="41"/>
  <c r="J113" i="41"/>
  <c r="J208" i="41"/>
  <c r="J40" i="41"/>
  <c r="J82" i="41"/>
  <c r="J109" i="41"/>
  <c r="J136" i="41"/>
  <c r="J172" i="41"/>
  <c r="J24" i="41"/>
  <c r="J46" i="41"/>
  <c r="J83" i="41"/>
  <c r="J111" i="41"/>
  <c r="J126" i="41"/>
  <c r="J214" i="41"/>
  <c r="J14" i="41"/>
  <c r="J22" i="41"/>
  <c r="J28" i="41"/>
  <c r="J38" i="41"/>
  <c r="J44" i="41"/>
  <c r="J58" i="41"/>
  <c r="J77" i="41"/>
  <c r="J81" i="41"/>
  <c r="J97" i="41"/>
  <c r="J96" i="41"/>
  <c r="J110" i="41"/>
  <c r="J119" i="41"/>
  <c r="J115" i="41"/>
  <c r="J118" i="41"/>
  <c r="J52" i="41"/>
  <c r="J88" i="41"/>
  <c r="J89" i="41"/>
  <c r="AL14" i="41"/>
  <c r="AN14" i="41"/>
  <c r="AK14" i="41"/>
  <c r="J71" i="41"/>
  <c r="J33" i="41"/>
  <c r="I137" i="41"/>
  <c r="J34" i="41"/>
  <c r="J107" i="41"/>
  <c r="AG15" i="41"/>
  <c r="I208" i="41"/>
  <c r="I213" i="41"/>
  <c r="AO7" i="41"/>
  <c r="C7" i="37"/>
  <c r="D11" i="33"/>
  <c r="V11" i="33" s="1"/>
  <c r="D12" i="33"/>
  <c r="AE12" i="33" s="1"/>
  <c r="D13" i="33"/>
  <c r="D14" i="33"/>
  <c r="D15" i="33"/>
  <c r="D16" i="33"/>
  <c r="D17" i="33"/>
  <c r="D18" i="33"/>
  <c r="D19" i="33"/>
  <c r="D20" i="33"/>
  <c r="D21" i="33"/>
  <c r="V21" i="33" s="1"/>
  <c r="D22" i="33"/>
  <c r="V22" i="33" s="1"/>
  <c r="D23" i="33"/>
  <c r="D24" i="33"/>
  <c r="S24" i="33" s="1"/>
  <c r="D25" i="33"/>
  <c r="J25" i="33" s="1"/>
  <c r="D30" i="33"/>
  <c r="D32" i="33"/>
  <c r="D35" i="33"/>
  <c r="D36" i="33"/>
  <c r="D37" i="33"/>
  <c r="D38" i="33"/>
  <c r="V43" i="33"/>
  <c r="U44" i="33"/>
  <c r="V44" i="33" s="1"/>
  <c r="U45" i="33"/>
  <c r="V45" i="33" s="1"/>
  <c r="U47" i="33"/>
  <c r="V47" i="33" s="1"/>
  <c r="U48" i="33"/>
  <c r="V48" i="33" s="1"/>
  <c r="U51" i="33"/>
  <c r="U52" i="33"/>
  <c r="V52" i="33" s="1"/>
  <c r="U55" i="33"/>
  <c r="V55" i="33" s="1"/>
  <c r="U56" i="33"/>
  <c r="V56" i="33" s="1"/>
  <c r="D61" i="33"/>
  <c r="D62" i="33"/>
  <c r="M13" i="33"/>
  <c r="P23" i="33"/>
  <c r="S15" i="33"/>
  <c r="S43" i="33"/>
  <c r="R44" i="33"/>
  <c r="S44" i="33" s="1"/>
  <c r="R45" i="33"/>
  <c r="S45" i="33" s="1"/>
  <c r="R47" i="33"/>
  <c r="S47" i="33" s="1"/>
  <c r="R48" i="33"/>
  <c r="S48" i="33" s="1"/>
  <c r="R51" i="33"/>
  <c r="R52" i="33"/>
  <c r="S52" i="33" s="1"/>
  <c r="R55" i="33"/>
  <c r="S55" i="33" s="1"/>
  <c r="R56" i="33"/>
  <c r="S56" i="33" s="1"/>
  <c r="P43" i="33"/>
  <c r="O44" i="33"/>
  <c r="P44" i="33" s="1"/>
  <c r="O45" i="33"/>
  <c r="P45" i="33" s="1"/>
  <c r="O47" i="33"/>
  <c r="P47" i="33" s="1"/>
  <c r="O48" i="33"/>
  <c r="P48" i="33" s="1"/>
  <c r="O51" i="33"/>
  <c r="O52" i="33"/>
  <c r="P52" i="33" s="1"/>
  <c r="O55" i="33"/>
  <c r="P55" i="33" s="1"/>
  <c r="O56" i="33"/>
  <c r="P56" i="33" s="1"/>
  <c r="M43" i="33"/>
  <c r="L44" i="33"/>
  <c r="M44" i="33" s="1"/>
  <c r="L45" i="33"/>
  <c r="M45" i="33" s="1"/>
  <c r="L47" i="33"/>
  <c r="M47" i="33" s="1"/>
  <c r="L48" i="33"/>
  <c r="M48" i="33" s="1"/>
  <c r="L51" i="33"/>
  <c r="L52" i="33"/>
  <c r="M52" i="33" s="1"/>
  <c r="L55" i="33"/>
  <c r="M55" i="33" s="1"/>
  <c r="L56" i="33"/>
  <c r="M56" i="33" s="1"/>
  <c r="J43" i="33"/>
  <c r="I44" i="33"/>
  <c r="J44" i="33" s="1"/>
  <c r="I45" i="33"/>
  <c r="J45" i="33" s="1"/>
  <c r="I47" i="33"/>
  <c r="J47" i="33" s="1"/>
  <c r="I48" i="33"/>
  <c r="J48" i="33" s="1"/>
  <c r="I51" i="33"/>
  <c r="I52" i="33"/>
  <c r="J52" i="33" s="1"/>
  <c r="I55" i="33"/>
  <c r="J55" i="33" s="1"/>
  <c r="I56" i="33"/>
  <c r="J56" i="33" s="1"/>
  <c r="G43" i="33"/>
  <c r="C62" i="33"/>
  <c r="C61" i="33"/>
  <c r="F56" i="33"/>
  <c r="G56" i="33" s="1"/>
  <c r="F55" i="33"/>
  <c r="G55" i="33" s="1"/>
  <c r="F51" i="33"/>
  <c r="F52" i="33"/>
  <c r="G52" i="33" s="1"/>
  <c r="F48" i="33"/>
  <c r="G48" i="33" s="1"/>
  <c r="F47" i="33"/>
  <c r="G47" i="33" s="1"/>
  <c r="F45" i="33"/>
  <c r="G45" i="33" s="1"/>
  <c r="F44" i="33"/>
  <c r="G44" i="33" s="1"/>
  <c r="C38" i="33"/>
  <c r="C37" i="33"/>
  <c r="C36" i="33"/>
  <c r="C35" i="33"/>
  <c r="C34" i="33"/>
  <c r="C32" i="33"/>
  <c r="C30" i="33"/>
  <c r="E33" i="11"/>
  <c r="E32" i="11"/>
  <c r="E31" i="11"/>
  <c r="E30" i="11"/>
  <c r="E27" i="11"/>
  <c r="E25" i="11"/>
  <c r="D33" i="11"/>
  <c r="D32" i="11"/>
  <c r="D31" i="11"/>
  <c r="D30" i="11"/>
  <c r="D29" i="11"/>
  <c r="D27" i="11"/>
  <c r="D25" i="11"/>
  <c r="F46" i="22"/>
  <c r="F22" i="22"/>
  <c r="F21" i="22"/>
  <c r="F14" i="22"/>
  <c r="F13" i="22"/>
  <c r="F16" i="22"/>
  <c r="F17" i="22"/>
  <c r="F18" i="22"/>
  <c r="F19" i="22"/>
  <c r="F20" i="22"/>
  <c r="F23" i="22"/>
  <c r="F48" i="22"/>
  <c r="F49" i="22"/>
  <c r="F50" i="22"/>
  <c r="F51" i="22"/>
  <c r="F52" i="22"/>
  <c r="F53" i="22"/>
  <c r="F54" i="22"/>
  <c r="F78" i="22"/>
  <c r="F79" i="22"/>
  <c r="F80" i="22"/>
  <c r="F81" i="22"/>
  <c r="F82" i="22"/>
  <c r="F83" i="22"/>
  <c r="E10" i="11"/>
  <c r="F10" i="11" s="1"/>
  <c r="E9" i="11" s="1"/>
  <c r="F9" i="11" s="1"/>
  <c r="F24" i="11" s="1"/>
  <c r="F25" i="11" s="1"/>
  <c r="F26" i="11" s="1"/>
  <c r="E11" i="11"/>
  <c r="F11" i="11" s="1"/>
  <c r="E12" i="11"/>
  <c r="F12" i="11" s="1"/>
  <c r="E13" i="11"/>
  <c r="F13" i="11" s="1"/>
  <c r="E14" i="11"/>
  <c r="F14" i="11" s="1"/>
  <c r="E15" i="11"/>
  <c r="F15" i="11" s="1"/>
  <c r="E16" i="11"/>
  <c r="F16" i="11" s="1"/>
  <c r="E17" i="11"/>
  <c r="F17" i="11" s="1"/>
  <c r="E18" i="11"/>
  <c r="F18" i="11" s="1"/>
  <c r="E19" i="11"/>
  <c r="F19" i="11" s="1"/>
  <c r="E20" i="11"/>
  <c r="F20" i="11" s="1"/>
  <c r="E21" i="11"/>
  <c r="F21" i="11" s="1"/>
  <c r="E22" i="11"/>
  <c r="F22" i="11" s="1"/>
  <c r="E23" i="11"/>
  <c r="F23" i="11" s="1"/>
  <c r="F18" i="16"/>
  <c r="F19" i="16"/>
  <c r="F10" i="16"/>
  <c r="F16" i="27"/>
  <c r="F15" i="27"/>
  <c r="F14" i="27"/>
  <c r="F13" i="27"/>
  <c r="F12" i="27"/>
  <c r="F17" i="27"/>
  <c r="F11" i="14"/>
  <c r="C9" i="37"/>
  <c r="R16" i="10"/>
  <c r="S16" i="10" s="1"/>
  <c r="R20" i="10"/>
  <c r="S20" i="10" s="1"/>
  <c r="R21" i="10"/>
  <c r="S21" i="10" s="1"/>
  <c r="S10" i="4"/>
  <c r="S11" i="4"/>
  <c r="S12" i="4"/>
  <c r="S13" i="4"/>
  <c r="S14" i="4"/>
  <c r="S15" i="4"/>
  <c r="S16" i="4"/>
  <c r="S17" i="4"/>
  <c r="S18" i="4"/>
  <c r="S19" i="4"/>
  <c r="S20" i="4"/>
  <c r="S21" i="4"/>
  <c r="S22" i="4"/>
  <c r="S23" i="4"/>
  <c r="S10" i="11"/>
  <c r="S11" i="11"/>
  <c r="S13" i="11"/>
  <c r="S14" i="11"/>
  <c r="S16" i="11"/>
  <c r="S17" i="11"/>
  <c r="S18" i="11"/>
  <c r="S19" i="11"/>
  <c r="S20" i="11"/>
  <c r="S21" i="11"/>
  <c r="S22" i="11"/>
  <c r="S23" i="11"/>
  <c r="S9" i="4"/>
  <c r="S9" i="11"/>
  <c r="R23" i="10"/>
  <c r="S23" i="10" s="1"/>
  <c r="R19" i="10"/>
  <c r="S19" i="10" s="1"/>
  <c r="R18" i="10"/>
  <c r="S18" i="10" s="1"/>
  <c r="R14" i="10"/>
  <c r="S14" i="10" s="1"/>
  <c r="R13" i="10"/>
  <c r="S13" i="10" s="1"/>
  <c r="R11" i="10"/>
  <c r="S11" i="10" s="1"/>
  <c r="R10" i="10"/>
  <c r="S10" i="10" s="1"/>
  <c r="R9" i="10"/>
  <c r="S9" i="10" s="1"/>
  <c r="R22" i="11"/>
  <c r="R22" i="10"/>
  <c r="S22" i="10" s="1"/>
  <c r="R17" i="10"/>
  <c r="S17" i="10" s="1"/>
  <c r="R15" i="11"/>
  <c r="R12" i="11"/>
  <c r="R12" i="10" s="1"/>
  <c r="S12" i="10" s="1"/>
  <c r="C18" i="37"/>
  <c r="C15" i="37"/>
  <c r="C8" i="37" s="1"/>
  <c r="C13" i="37"/>
  <c r="C48" i="10"/>
  <c r="F48" i="10" s="1"/>
  <c r="C48" i="11"/>
  <c r="C47" i="11"/>
  <c r="F47" i="11"/>
  <c r="C47" i="10"/>
  <c r="F47" i="10"/>
  <c r="C105" i="10"/>
  <c r="F105" i="10"/>
  <c r="C105" i="11"/>
  <c r="F76" i="11"/>
  <c r="F76" i="10"/>
  <c r="F46" i="10"/>
  <c r="F45" i="10"/>
  <c r="F10" i="7"/>
  <c r="F109" i="7"/>
  <c r="F108" i="7"/>
  <c r="F107" i="7"/>
  <c r="F106" i="7"/>
  <c r="F105" i="7"/>
  <c r="F106" i="14"/>
  <c r="F107" i="14"/>
  <c r="F108" i="14"/>
  <c r="F45" i="7"/>
  <c r="E36" i="4"/>
  <c r="B11" i="33"/>
  <c r="C11" i="33"/>
  <c r="B21" i="33"/>
  <c r="C21" i="33"/>
  <c r="B13" i="33"/>
  <c r="C13" i="33"/>
  <c r="B22" i="33"/>
  <c r="C22" i="33"/>
  <c r="B25" i="33"/>
  <c r="C25" i="33"/>
  <c r="B16" i="33"/>
  <c r="C16" i="33"/>
  <c r="B24" i="33"/>
  <c r="C24" i="33"/>
  <c r="B15" i="33"/>
  <c r="C15" i="33"/>
  <c r="B17" i="33"/>
  <c r="C17" i="33"/>
  <c r="B20" i="33"/>
  <c r="C20" i="33"/>
  <c r="B14" i="33"/>
  <c r="C14" i="33"/>
  <c r="B23" i="33"/>
  <c r="C23" i="33"/>
  <c r="B18" i="33"/>
  <c r="C18" i="33"/>
  <c r="B19" i="33"/>
  <c r="C19" i="33"/>
  <c r="C12" i="33"/>
  <c r="B12" i="33"/>
  <c r="F109" i="27"/>
  <c r="F108" i="27"/>
  <c r="F107" i="27"/>
  <c r="F115" i="27" s="1"/>
  <c r="F106" i="27"/>
  <c r="F105" i="27"/>
  <c r="E27" i="21"/>
  <c r="F14" i="21"/>
  <c r="F13" i="21"/>
  <c r="E74" i="17"/>
  <c r="F74" i="17" s="1"/>
  <c r="F84" i="17" s="1"/>
  <c r="F85" i="17" s="1"/>
  <c r="F86" i="17" s="1"/>
  <c r="E74" i="25"/>
  <c r="N10" i="10"/>
  <c r="O10" i="10"/>
  <c r="N11" i="10"/>
  <c r="O11" i="10"/>
  <c r="N12" i="10"/>
  <c r="O12" i="10"/>
  <c r="N13" i="10"/>
  <c r="O13" i="10"/>
  <c r="N14" i="10"/>
  <c r="O14" i="10"/>
  <c r="N15" i="10"/>
  <c r="O15" i="10"/>
  <c r="N16" i="10"/>
  <c r="O16" i="10"/>
  <c r="N17" i="10"/>
  <c r="O17" i="10"/>
  <c r="N18" i="10"/>
  <c r="O18" i="10"/>
  <c r="N19" i="10"/>
  <c r="O19" i="10"/>
  <c r="N20" i="10"/>
  <c r="O20" i="10"/>
  <c r="N21" i="10"/>
  <c r="O21" i="10"/>
  <c r="N22" i="10"/>
  <c r="O22" i="10"/>
  <c r="N23" i="10"/>
  <c r="O23" i="10"/>
  <c r="O9" i="10"/>
  <c r="N9" i="10"/>
  <c r="E23" i="10"/>
  <c r="F23" i="10" s="1"/>
  <c r="D23" i="10"/>
  <c r="E22" i="10"/>
  <c r="F22" i="10" s="1"/>
  <c r="D22" i="10"/>
  <c r="E21" i="10"/>
  <c r="F21" i="10" s="1"/>
  <c r="D21" i="10"/>
  <c r="E20" i="10"/>
  <c r="F20" i="10"/>
  <c r="D20" i="10"/>
  <c r="E19" i="10"/>
  <c r="F19" i="10" s="1"/>
  <c r="D19" i="10"/>
  <c r="E18" i="10"/>
  <c r="F18" i="10" s="1"/>
  <c r="D18" i="10"/>
  <c r="E17" i="10"/>
  <c r="F17" i="10"/>
  <c r="D17" i="10"/>
  <c r="E16" i="10"/>
  <c r="F16" i="10" s="1"/>
  <c r="D16" i="10"/>
  <c r="D11" i="11"/>
  <c r="D12" i="11"/>
  <c r="D13" i="11"/>
  <c r="D14" i="11"/>
  <c r="D15" i="11"/>
  <c r="D16" i="11"/>
  <c r="D17" i="11"/>
  <c r="D18" i="11"/>
  <c r="D19" i="11"/>
  <c r="D20" i="11"/>
  <c r="D21" i="11"/>
  <c r="D22" i="11"/>
  <c r="D23" i="11"/>
  <c r="D10" i="11"/>
  <c r="F115" i="29"/>
  <c r="F105" i="28"/>
  <c r="F106" i="28"/>
  <c r="F107" i="28"/>
  <c r="B47" i="6"/>
  <c r="B46" i="6"/>
  <c r="B45" i="6"/>
  <c r="B44" i="6"/>
  <c r="B43" i="6"/>
  <c r="B42" i="6"/>
  <c r="B38" i="6"/>
  <c r="B37" i="6"/>
  <c r="B36" i="6"/>
  <c r="B35" i="6"/>
  <c r="B34" i="6"/>
  <c r="B33" i="6"/>
  <c r="E122" i="32"/>
  <c r="E121" i="32"/>
  <c r="E120" i="32"/>
  <c r="E119" i="32"/>
  <c r="E116" i="32"/>
  <c r="D116" i="32"/>
  <c r="F114" i="32"/>
  <c r="F113" i="32"/>
  <c r="F112" i="32"/>
  <c r="F111" i="32"/>
  <c r="F110" i="32"/>
  <c r="F109" i="32"/>
  <c r="F108" i="32"/>
  <c r="F107" i="32"/>
  <c r="F106" i="32"/>
  <c r="F105" i="32"/>
  <c r="B101" i="32"/>
  <c r="B100" i="32"/>
  <c r="E93" i="32"/>
  <c r="E92" i="32"/>
  <c r="E91" i="32"/>
  <c r="E90" i="32"/>
  <c r="E87" i="32"/>
  <c r="D87" i="32"/>
  <c r="E85" i="32"/>
  <c r="D85" i="32"/>
  <c r="F83" i="32"/>
  <c r="F82" i="32"/>
  <c r="F81" i="32"/>
  <c r="F80" i="32"/>
  <c r="F79" i="32"/>
  <c r="F78" i="32"/>
  <c r="F77" i="32"/>
  <c r="F76" i="32"/>
  <c r="F75" i="32"/>
  <c r="E74" i="32" s="1"/>
  <c r="G74" i="32"/>
  <c r="B74" i="32"/>
  <c r="B70" i="32"/>
  <c r="B69" i="32"/>
  <c r="E62" i="32"/>
  <c r="E61" i="32"/>
  <c r="E60" i="32"/>
  <c r="E59" i="32"/>
  <c r="E56" i="32"/>
  <c r="D56" i="32"/>
  <c r="F54" i="32"/>
  <c r="F53" i="32"/>
  <c r="F52" i="32"/>
  <c r="F51" i="32"/>
  <c r="F50" i="32"/>
  <c r="F49" i="32"/>
  <c r="F48" i="32"/>
  <c r="F47" i="32"/>
  <c r="F46" i="32"/>
  <c r="F45" i="32"/>
  <c r="F55" i="32" s="1"/>
  <c r="B41" i="32"/>
  <c r="B40" i="32"/>
  <c r="G34" i="32"/>
  <c r="G94" i="32"/>
  <c r="E33" i="32"/>
  <c r="D33" i="32"/>
  <c r="E32" i="32"/>
  <c r="D32" i="32"/>
  <c r="E31" i="32"/>
  <c r="D31" i="32"/>
  <c r="E30" i="32"/>
  <c r="D30" i="32"/>
  <c r="D29" i="32"/>
  <c r="E27" i="32"/>
  <c r="D27" i="32"/>
  <c r="E25" i="32"/>
  <c r="D25" i="32"/>
  <c r="F23" i="32"/>
  <c r="F22" i="32"/>
  <c r="F21" i="32"/>
  <c r="F20" i="32"/>
  <c r="F19" i="32"/>
  <c r="F18" i="32"/>
  <c r="F17" i="32"/>
  <c r="F16" i="32"/>
  <c r="F15" i="32"/>
  <c r="F14" i="32"/>
  <c r="F13" i="32"/>
  <c r="F12" i="32"/>
  <c r="F11" i="32"/>
  <c r="F10" i="32"/>
  <c r="G9" i="32"/>
  <c r="B4" i="32"/>
  <c r="E122" i="31"/>
  <c r="E121" i="31"/>
  <c r="E120" i="31"/>
  <c r="E119" i="31"/>
  <c r="E116" i="31"/>
  <c r="D116" i="31"/>
  <c r="F114" i="31"/>
  <c r="F113" i="31"/>
  <c r="F112" i="31"/>
  <c r="F111" i="31"/>
  <c r="F110" i="31"/>
  <c r="F109" i="31"/>
  <c r="F108" i="31"/>
  <c r="F107" i="31"/>
  <c r="F115" i="31"/>
  <c r="F106" i="31"/>
  <c r="F105" i="31"/>
  <c r="B101" i="31"/>
  <c r="B100" i="31"/>
  <c r="E93" i="31"/>
  <c r="E92" i="31"/>
  <c r="E91" i="31"/>
  <c r="E90" i="31"/>
  <c r="E87" i="31"/>
  <c r="D87" i="31"/>
  <c r="E85" i="31"/>
  <c r="D85" i="31"/>
  <c r="F83" i="31"/>
  <c r="F82" i="31"/>
  <c r="F81" i="31"/>
  <c r="F80" i="31"/>
  <c r="F79" i="31"/>
  <c r="F78" i="31"/>
  <c r="F77" i="31"/>
  <c r="F76" i="31"/>
  <c r="F75" i="31"/>
  <c r="E74" i="31" s="1"/>
  <c r="G74" i="31"/>
  <c r="B74" i="31"/>
  <c r="B70" i="31"/>
  <c r="B69" i="31"/>
  <c r="E62" i="31"/>
  <c r="E61" i="31"/>
  <c r="E60" i="31"/>
  <c r="E59" i="31"/>
  <c r="E56" i="31"/>
  <c r="D56" i="31"/>
  <c r="F54" i="31"/>
  <c r="F53" i="31"/>
  <c r="F52" i="31"/>
  <c r="F51" i="31"/>
  <c r="F50" i="31"/>
  <c r="F49" i="31"/>
  <c r="F48" i="31"/>
  <c r="F47" i="31"/>
  <c r="F46" i="31"/>
  <c r="F45" i="31"/>
  <c r="B41" i="31"/>
  <c r="B40" i="31"/>
  <c r="G34" i="31"/>
  <c r="G94" i="31"/>
  <c r="E33" i="31"/>
  <c r="D33" i="31"/>
  <c r="E32" i="31"/>
  <c r="D32" i="31"/>
  <c r="E31" i="31"/>
  <c r="D31" i="31"/>
  <c r="E30" i="31"/>
  <c r="D30" i="31"/>
  <c r="D29" i="31"/>
  <c r="E27" i="31"/>
  <c r="D27" i="31"/>
  <c r="E25" i="31"/>
  <c r="D25" i="31"/>
  <c r="F23" i="31"/>
  <c r="F22" i="31"/>
  <c r="F21" i="31"/>
  <c r="F20" i="31"/>
  <c r="F19" i="31"/>
  <c r="F18" i="31"/>
  <c r="F17" i="31"/>
  <c r="F16" i="31"/>
  <c r="F15" i="31"/>
  <c r="F14" i="31"/>
  <c r="F13" i="31"/>
  <c r="F12" i="31"/>
  <c r="F11" i="31"/>
  <c r="F10" i="31"/>
  <c r="E9" i="31" s="1"/>
  <c r="F9" i="31" s="1"/>
  <c r="F24" i="31" s="1"/>
  <c r="F25" i="31" s="1"/>
  <c r="F26" i="31" s="1"/>
  <c r="F27" i="31" s="1"/>
  <c r="G9" i="31"/>
  <c r="B4" i="31"/>
  <c r="E122" i="30"/>
  <c r="E121" i="30"/>
  <c r="E120" i="30"/>
  <c r="E119" i="30"/>
  <c r="E116" i="30"/>
  <c r="D116" i="30"/>
  <c r="F114" i="30"/>
  <c r="F113" i="30"/>
  <c r="F112" i="30"/>
  <c r="F111" i="30"/>
  <c r="F110" i="30"/>
  <c r="F109" i="30"/>
  <c r="F108" i="30"/>
  <c r="F107" i="30"/>
  <c r="F106" i="30"/>
  <c r="F105" i="30"/>
  <c r="F115" i="30"/>
  <c r="B101" i="30"/>
  <c r="B100" i="30"/>
  <c r="E93" i="30"/>
  <c r="E92" i="30"/>
  <c r="E91" i="30"/>
  <c r="E90" i="30"/>
  <c r="E87" i="30"/>
  <c r="D87" i="30"/>
  <c r="E85" i="30"/>
  <c r="D85" i="30"/>
  <c r="F83" i="30"/>
  <c r="F82" i="30"/>
  <c r="F81" i="30"/>
  <c r="F80" i="30"/>
  <c r="F79" i="30"/>
  <c r="F78" i="30"/>
  <c r="F77" i="30"/>
  <c r="F76" i="30"/>
  <c r="F75" i="30"/>
  <c r="E74" i="30" s="1"/>
  <c r="F74" i="30" s="1"/>
  <c r="F84" i="30" s="1"/>
  <c r="F85" i="30" s="1"/>
  <c r="F86" i="30" s="1"/>
  <c r="G74" i="30"/>
  <c r="B74" i="30"/>
  <c r="B70" i="30"/>
  <c r="B69" i="30"/>
  <c r="E62" i="30"/>
  <c r="E61" i="30"/>
  <c r="E60" i="30"/>
  <c r="E59" i="30"/>
  <c r="E56" i="30"/>
  <c r="D56" i="30"/>
  <c r="F54" i="30"/>
  <c r="F53" i="30"/>
  <c r="F52" i="30"/>
  <c r="F51" i="30"/>
  <c r="F50" i="30"/>
  <c r="F49" i="30"/>
  <c r="F48" i="30"/>
  <c r="F47" i="30"/>
  <c r="F55" i="30"/>
  <c r="F46" i="30"/>
  <c r="F45" i="30"/>
  <c r="B41" i="30"/>
  <c r="B40" i="30"/>
  <c r="G34" i="30"/>
  <c r="G94" i="30"/>
  <c r="E33" i="30"/>
  <c r="D33" i="30"/>
  <c r="E32" i="30"/>
  <c r="D32" i="30"/>
  <c r="E31" i="30"/>
  <c r="D31" i="30"/>
  <c r="E30" i="30"/>
  <c r="D30" i="30"/>
  <c r="D29" i="30"/>
  <c r="E27" i="30"/>
  <c r="D27" i="30"/>
  <c r="E25" i="30"/>
  <c r="D25" i="30"/>
  <c r="F23" i="30"/>
  <c r="F22" i="30"/>
  <c r="F21" i="30"/>
  <c r="F20" i="30"/>
  <c r="F19" i="30"/>
  <c r="F18" i="30"/>
  <c r="F17" i="30"/>
  <c r="F16" i="30"/>
  <c r="F15" i="30"/>
  <c r="F14" i="30"/>
  <c r="F13" i="30"/>
  <c r="F12" i="30"/>
  <c r="F11" i="30"/>
  <c r="F10" i="30"/>
  <c r="E9" i="30" s="1"/>
  <c r="G9" i="30"/>
  <c r="B4" i="30"/>
  <c r="E122" i="29"/>
  <c r="E121" i="29"/>
  <c r="E120" i="29"/>
  <c r="E119" i="29"/>
  <c r="E116" i="29"/>
  <c r="D116" i="29"/>
  <c r="F114" i="29"/>
  <c r="F113" i="29"/>
  <c r="F112" i="29"/>
  <c r="F111" i="29"/>
  <c r="F110" i="29"/>
  <c r="F109" i="29"/>
  <c r="F108" i="29"/>
  <c r="B101" i="29"/>
  <c r="B100" i="29"/>
  <c r="E93" i="29"/>
  <c r="E92" i="29"/>
  <c r="E91" i="29"/>
  <c r="E90" i="29"/>
  <c r="E87" i="29"/>
  <c r="D87" i="29"/>
  <c r="E85" i="29"/>
  <c r="D85" i="29"/>
  <c r="F83" i="29"/>
  <c r="F82" i="29"/>
  <c r="F81" i="29"/>
  <c r="F80" i="29"/>
  <c r="F79" i="29"/>
  <c r="E74" i="29" s="1"/>
  <c r="G74" i="29"/>
  <c r="B74" i="29"/>
  <c r="B70" i="29"/>
  <c r="B69" i="29"/>
  <c r="E62" i="29"/>
  <c r="E61" i="29"/>
  <c r="E60" i="29"/>
  <c r="E59" i="29"/>
  <c r="E56" i="29"/>
  <c r="D56" i="29"/>
  <c r="F54" i="29"/>
  <c r="F53" i="29"/>
  <c r="F52" i="29"/>
  <c r="F51" i="29"/>
  <c r="F50" i="29"/>
  <c r="F49" i="29"/>
  <c r="F48" i="29"/>
  <c r="F47" i="29"/>
  <c r="F46" i="29"/>
  <c r="F45" i="29"/>
  <c r="B41" i="29"/>
  <c r="B40" i="29"/>
  <c r="G34" i="29"/>
  <c r="G94" i="29"/>
  <c r="E33" i="29"/>
  <c r="D33" i="29"/>
  <c r="E32" i="29"/>
  <c r="D32" i="29"/>
  <c r="E31" i="29"/>
  <c r="D31" i="29"/>
  <c r="E30" i="29"/>
  <c r="D30" i="29"/>
  <c r="D29" i="29"/>
  <c r="E27" i="29"/>
  <c r="D27" i="29"/>
  <c r="E25" i="29"/>
  <c r="D25" i="29"/>
  <c r="F23" i="29"/>
  <c r="F22" i="29"/>
  <c r="F21" i="29"/>
  <c r="F20" i="29"/>
  <c r="F19" i="29"/>
  <c r="F18" i="29"/>
  <c r="F17" i="29"/>
  <c r="E9" i="29" s="1"/>
  <c r="F9" i="29" s="1"/>
  <c r="F24" i="29" s="1"/>
  <c r="F25" i="29"/>
  <c r="F26" i="29" s="1"/>
  <c r="G9" i="29"/>
  <c r="B4" i="29"/>
  <c r="E122" i="28"/>
  <c r="E121" i="28"/>
  <c r="E120" i="28"/>
  <c r="E119" i="28"/>
  <c r="E116" i="28"/>
  <c r="D116" i="28"/>
  <c r="F114" i="28"/>
  <c r="F113" i="28"/>
  <c r="F112" i="28"/>
  <c r="F111" i="28"/>
  <c r="F110" i="28"/>
  <c r="F109" i="28"/>
  <c r="F115" i="28" s="1"/>
  <c r="F108" i="28"/>
  <c r="B101" i="28"/>
  <c r="B100" i="28"/>
  <c r="E93" i="28"/>
  <c r="E92" i="28"/>
  <c r="E91" i="28"/>
  <c r="E90" i="28"/>
  <c r="E87" i="28"/>
  <c r="D87" i="28"/>
  <c r="E85" i="28"/>
  <c r="D85" i="28"/>
  <c r="F83" i="28"/>
  <c r="F82" i="28"/>
  <c r="F81" i="28"/>
  <c r="F80" i="28"/>
  <c r="F79" i="28"/>
  <c r="F78" i="28"/>
  <c r="F77" i="28"/>
  <c r="F76" i="28"/>
  <c r="E74" i="28" s="1"/>
  <c r="G74" i="28"/>
  <c r="B74" i="28"/>
  <c r="B70" i="28"/>
  <c r="B69" i="28"/>
  <c r="E62" i="28"/>
  <c r="E61" i="28"/>
  <c r="E60" i="28"/>
  <c r="E59" i="28"/>
  <c r="E56" i="28"/>
  <c r="D56" i="28"/>
  <c r="F54" i="28"/>
  <c r="F53" i="28"/>
  <c r="F52" i="28"/>
  <c r="F51" i="28"/>
  <c r="F50" i="28"/>
  <c r="F49" i="28"/>
  <c r="F48" i="28"/>
  <c r="F47" i="28"/>
  <c r="F46" i="28"/>
  <c r="F45" i="28"/>
  <c r="F55" i="28" s="1"/>
  <c r="B41" i="28"/>
  <c r="B40" i="28"/>
  <c r="G34" i="28"/>
  <c r="G94" i="28"/>
  <c r="E33" i="28"/>
  <c r="D33" i="28"/>
  <c r="E32" i="28"/>
  <c r="D32" i="28"/>
  <c r="E31" i="28"/>
  <c r="D31" i="28"/>
  <c r="E30" i="28"/>
  <c r="D30" i="28"/>
  <c r="D29" i="28"/>
  <c r="E27" i="28"/>
  <c r="D27" i="28"/>
  <c r="E25" i="28"/>
  <c r="D25" i="28"/>
  <c r="F23" i="28"/>
  <c r="F22" i="28"/>
  <c r="F21" i="28"/>
  <c r="F20" i="28"/>
  <c r="F19" i="28"/>
  <c r="F18" i="28"/>
  <c r="F17" i="28"/>
  <c r="E9" i="28" s="1"/>
  <c r="F9" i="28" s="1"/>
  <c r="F24" i="28" s="1"/>
  <c r="F25" i="28" s="1"/>
  <c r="F26" i="28" s="1"/>
  <c r="F27" i="28" s="1"/>
  <c r="G9" i="28"/>
  <c r="B4" i="28"/>
  <c r="E122" i="27"/>
  <c r="E121" i="27"/>
  <c r="E120" i="27"/>
  <c r="E119" i="27"/>
  <c r="E116" i="27"/>
  <c r="D116" i="27"/>
  <c r="F114" i="27"/>
  <c r="F113" i="27"/>
  <c r="F112" i="27"/>
  <c r="F111" i="27"/>
  <c r="F110" i="27"/>
  <c r="B101" i="27"/>
  <c r="B100" i="27"/>
  <c r="E93" i="27"/>
  <c r="E92" i="27"/>
  <c r="E91" i="27"/>
  <c r="E90" i="27"/>
  <c r="E87" i="27"/>
  <c r="D87" i="27"/>
  <c r="E85" i="27"/>
  <c r="D85" i="27"/>
  <c r="F83" i="27"/>
  <c r="F82" i="27"/>
  <c r="F81" i="27"/>
  <c r="F80" i="27"/>
  <c r="F79" i="27"/>
  <c r="F78" i="27"/>
  <c r="F77" i="27"/>
  <c r="E74" i="27" s="1"/>
  <c r="F76" i="27"/>
  <c r="F75" i="27"/>
  <c r="G74" i="27"/>
  <c r="B74" i="27"/>
  <c r="B70" i="27"/>
  <c r="B69" i="27"/>
  <c r="E62" i="27"/>
  <c r="E61" i="27"/>
  <c r="E60" i="27"/>
  <c r="E59" i="27"/>
  <c r="E56" i="27"/>
  <c r="D56" i="27"/>
  <c r="F54" i="27"/>
  <c r="F53" i="27"/>
  <c r="F52" i="27"/>
  <c r="F51" i="27"/>
  <c r="F50" i="27"/>
  <c r="F49" i="27"/>
  <c r="F48" i="27"/>
  <c r="F47" i="27"/>
  <c r="F46" i="27"/>
  <c r="F55" i="27"/>
  <c r="F45" i="27"/>
  <c r="B41" i="27"/>
  <c r="B40" i="27"/>
  <c r="G34" i="27"/>
  <c r="G94" i="27" s="1"/>
  <c r="E33" i="27"/>
  <c r="D33" i="27"/>
  <c r="E32" i="27"/>
  <c r="D32" i="27"/>
  <c r="E31" i="27"/>
  <c r="D31" i="27"/>
  <c r="E30" i="27"/>
  <c r="D30" i="27"/>
  <c r="D29" i="27"/>
  <c r="E27" i="27"/>
  <c r="D27" i="27"/>
  <c r="E25" i="27"/>
  <c r="D25" i="27"/>
  <c r="F23" i="27"/>
  <c r="F22" i="27"/>
  <c r="F21" i="27"/>
  <c r="F20" i="27"/>
  <c r="F19" i="27"/>
  <c r="F18" i="27"/>
  <c r="F11" i="27"/>
  <c r="F10" i="27"/>
  <c r="G9" i="27"/>
  <c r="B4" i="27"/>
  <c r="E122" i="26"/>
  <c r="E121" i="26"/>
  <c r="E120" i="26"/>
  <c r="E119" i="26"/>
  <c r="E116" i="26"/>
  <c r="D116" i="26"/>
  <c r="F114" i="26"/>
  <c r="F113" i="26"/>
  <c r="F112" i="26"/>
  <c r="F111" i="26"/>
  <c r="F110" i="26"/>
  <c r="F109" i="26"/>
  <c r="F108" i="26"/>
  <c r="F107" i="26"/>
  <c r="F106" i="26"/>
  <c r="F105" i="26"/>
  <c r="B101" i="26"/>
  <c r="B100" i="26"/>
  <c r="E93" i="26"/>
  <c r="E92" i="26"/>
  <c r="E91" i="26"/>
  <c r="E90" i="26"/>
  <c r="E87" i="26"/>
  <c r="D87" i="26"/>
  <c r="E85" i="26"/>
  <c r="D85" i="26"/>
  <c r="F83" i="26"/>
  <c r="F82" i="26"/>
  <c r="F81" i="26"/>
  <c r="F80" i="26"/>
  <c r="F79" i="26"/>
  <c r="F78" i="26"/>
  <c r="F77" i="26"/>
  <c r="F76" i="26"/>
  <c r="F75" i="26"/>
  <c r="G74" i="26"/>
  <c r="B74" i="26"/>
  <c r="B70" i="26"/>
  <c r="B69" i="26"/>
  <c r="E62" i="26"/>
  <c r="E61" i="26"/>
  <c r="E60" i="26"/>
  <c r="E59" i="26"/>
  <c r="E56" i="26"/>
  <c r="D56" i="26"/>
  <c r="F54" i="26"/>
  <c r="F53" i="26"/>
  <c r="F52" i="26"/>
  <c r="F51" i="26"/>
  <c r="F50" i="26"/>
  <c r="F49" i="26"/>
  <c r="F48" i="26"/>
  <c r="F47" i="26"/>
  <c r="F46" i="26"/>
  <c r="F45" i="26"/>
  <c r="B41" i="26"/>
  <c r="B40" i="26"/>
  <c r="G34" i="26"/>
  <c r="G94" i="26" s="1"/>
  <c r="E33" i="26"/>
  <c r="D33" i="26"/>
  <c r="E32" i="26"/>
  <c r="D32" i="26"/>
  <c r="E31" i="26"/>
  <c r="D31" i="26"/>
  <c r="E30" i="26"/>
  <c r="D30" i="26"/>
  <c r="D29" i="26"/>
  <c r="E27" i="26"/>
  <c r="D27" i="26"/>
  <c r="E25" i="26"/>
  <c r="D25" i="26"/>
  <c r="F23" i="26"/>
  <c r="F22" i="26"/>
  <c r="F21" i="26"/>
  <c r="F20" i="26"/>
  <c r="F19" i="26"/>
  <c r="F18" i="26"/>
  <c r="F17" i="26"/>
  <c r="F16" i="26"/>
  <c r="F15" i="26"/>
  <c r="F14" i="26"/>
  <c r="F13" i="26"/>
  <c r="F12" i="26"/>
  <c r="F11" i="26"/>
  <c r="E9" i="26" s="1"/>
  <c r="F9" i="26" s="1"/>
  <c r="F24" i="26" s="1"/>
  <c r="F25" i="26" s="1"/>
  <c r="F26" i="26" s="1"/>
  <c r="F10" i="26"/>
  <c r="G9" i="26"/>
  <c r="B4" i="26"/>
  <c r="E122" i="25"/>
  <c r="E121" i="25"/>
  <c r="E120" i="25"/>
  <c r="E119" i="25"/>
  <c r="E116" i="25"/>
  <c r="D116" i="25"/>
  <c r="F114" i="25"/>
  <c r="F113" i="25"/>
  <c r="F112" i="25"/>
  <c r="F111" i="25"/>
  <c r="F110" i="25"/>
  <c r="F109" i="25"/>
  <c r="F108" i="25"/>
  <c r="F107" i="25"/>
  <c r="F106" i="25"/>
  <c r="F105" i="25"/>
  <c r="B101" i="25"/>
  <c r="B100" i="25"/>
  <c r="E93" i="25"/>
  <c r="E92" i="25"/>
  <c r="E91" i="25"/>
  <c r="E90" i="25"/>
  <c r="E87" i="25"/>
  <c r="D87" i="25"/>
  <c r="E85" i="25"/>
  <c r="D85" i="25"/>
  <c r="F83" i="25"/>
  <c r="F82" i="25"/>
  <c r="F81" i="25"/>
  <c r="F80" i="25"/>
  <c r="F79" i="25"/>
  <c r="F78" i="25"/>
  <c r="F77" i="25"/>
  <c r="F76" i="25"/>
  <c r="F75" i="25"/>
  <c r="G74" i="25"/>
  <c r="B74" i="25"/>
  <c r="B70" i="25"/>
  <c r="B69" i="25"/>
  <c r="E62" i="25"/>
  <c r="E61" i="25"/>
  <c r="E60" i="25"/>
  <c r="E59" i="25"/>
  <c r="E56" i="25"/>
  <c r="D56" i="25"/>
  <c r="F54" i="25"/>
  <c r="F53" i="25"/>
  <c r="F52" i="25"/>
  <c r="F51" i="25"/>
  <c r="F50" i="25"/>
  <c r="F49" i="25"/>
  <c r="F48" i="25"/>
  <c r="F47" i="25"/>
  <c r="F55" i="25" s="1"/>
  <c r="F46" i="25"/>
  <c r="F45" i="25"/>
  <c r="B41" i="25"/>
  <c r="B40" i="25"/>
  <c r="G34" i="25"/>
  <c r="G94" i="25" s="1"/>
  <c r="E33" i="25"/>
  <c r="D33" i="25"/>
  <c r="E32" i="25"/>
  <c r="D32" i="25"/>
  <c r="E31" i="25"/>
  <c r="D31" i="25"/>
  <c r="E30" i="25"/>
  <c r="D30" i="25"/>
  <c r="D29" i="25"/>
  <c r="E27" i="25"/>
  <c r="D27" i="25"/>
  <c r="E25" i="25"/>
  <c r="D25" i="25"/>
  <c r="F23" i="25"/>
  <c r="F22" i="25"/>
  <c r="F21" i="25"/>
  <c r="F20" i="25"/>
  <c r="F19" i="25"/>
  <c r="F18" i="25"/>
  <c r="F17" i="25"/>
  <c r="F16" i="25"/>
  <c r="F15" i="25"/>
  <c r="F14" i="25"/>
  <c r="F13" i="25"/>
  <c r="F12" i="25"/>
  <c r="F11" i="25"/>
  <c r="F10" i="25"/>
  <c r="G9" i="25"/>
  <c r="B4" i="25"/>
  <c r="E122" i="24"/>
  <c r="E121" i="24"/>
  <c r="E120" i="24"/>
  <c r="E119" i="24"/>
  <c r="E116" i="24"/>
  <c r="D116" i="24"/>
  <c r="F114" i="24"/>
  <c r="F113" i="24"/>
  <c r="F112" i="24"/>
  <c r="F111" i="24"/>
  <c r="F115" i="24"/>
  <c r="B101" i="24"/>
  <c r="B100" i="24"/>
  <c r="E93" i="24"/>
  <c r="E92" i="24"/>
  <c r="E91" i="24"/>
  <c r="E90" i="24"/>
  <c r="E87" i="24"/>
  <c r="D87" i="24"/>
  <c r="E85" i="24"/>
  <c r="D85" i="24"/>
  <c r="F83" i="24"/>
  <c r="F82" i="24"/>
  <c r="F81" i="24"/>
  <c r="F80" i="24"/>
  <c r="F79" i="24"/>
  <c r="F78" i="24"/>
  <c r="F77" i="24"/>
  <c r="F76" i="24"/>
  <c r="E74" i="24" s="1"/>
  <c r="F74" i="24" s="1"/>
  <c r="F84" i="24" s="1"/>
  <c r="F85" i="24" s="1"/>
  <c r="F86" i="24" s="1"/>
  <c r="G74" i="24"/>
  <c r="B74" i="24"/>
  <c r="B70" i="24"/>
  <c r="B69" i="24"/>
  <c r="E62" i="24"/>
  <c r="E61" i="24"/>
  <c r="E60" i="24"/>
  <c r="E59" i="24"/>
  <c r="E56" i="24"/>
  <c r="D56" i="24"/>
  <c r="F54" i="24"/>
  <c r="F53" i="24"/>
  <c r="F52" i="24"/>
  <c r="F51" i="24"/>
  <c r="F50" i="24"/>
  <c r="F49" i="24"/>
  <c r="F48" i="24"/>
  <c r="F47" i="24"/>
  <c r="F46" i="24"/>
  <c r="F55" i="24"/>
  <c r="B41" i="24"/>
  <c r="B40" i="24"/>
  <c r="G34" i="24"/>
  <c r="G94" i="24"/>
  <c r="E33" i="24"/>
  <c r="D33" i="24"/>
  <c r="D32" i="24"/>
  <c r="E31" i="24"/>
  <c r="D31" i="24"/>
  <c r="E30" i="24"/>
  <c r="D30" i="24"/>
  <c r="D29" i="24"/>
  <c r="D27" i="24"/>
  <c r="E25" i="24"/>
  <c r="D25" i="24"/>
  <c r="F23" i="24"/>
  <c r="F22" i="24"/>
  <c r="F21" i="24"/>
  <c r="F20" i="24"/>
  <c r="F19" i="24"/>
  <c r="F18" i="24"/>
  <c r="F17" i="24"/>
  <c r="F16" i="24"/>
  <c r="F15" i="24"/>
  <c r="F14" i="24"/>
  <c r="F13" i="24"/>
  <c r="F12" i="24"/>
  <c r="F11" i="24"/>
  <c r="E9" i="24" s="1"/>
  <c r="F9" i="24" s="1"/>
  <c r="F24" i="24" s="1"/>
  <c r="F25" i="24" s="1"/>
  <c r="F26" i="24" s="1"/>
  <c r="G9" i="24"/>
  <c r="B4" i="24"/>
  <c r="E122" i="23"/>
  <c r="E121" i="23"/>
  <c r="E120" i="23"/>
  <c r="E119" i="23"/>
  <c r="E116" i="23"/>
  <c r="D116" i="23"/>
  <c r="F114" i="23"/>
  <c r="F113" i="23"/>
  <c r="F112" i="23"/>
  <c r="F111" i="23"/>
  <c r="F110" i="23"/>
  <c r="F109" i="23"/>
  <c r="F108" i="23"/>
  <c r="F107" i="23"/>
  <c r="F115" i="23"/>
  <c r="F106" i="23"/>
  <c r="F105" i="23"/>
  <c r="B101" i="23"/>
  <c r="B100" i="23"/>
  <c r="E93" i="23"/>
  <c r="E92" i="23"/>
  <c r="E91" i="23"/>
  <c r="E90" i="23"/>
  <c r="E87" i="23"/>
  <c r="D87" i="23"/>
  <c r="E85" i="23"/>
  <c r="D85" i="23"/>
  <c r="F83" i="23"/>
  <c r="F82" i="23"/>
  <c r="F81" i="23"/>
  <c r="F80" i="23"/>
  <c r="F79" i="23"/>
  <c r="F78" i="23"/>
  <c r="F77" i="23"/>
  <c r="F76" i="23"/>
  <c r="F75" i="23"/>
  <c r="G74" i="23"/>
  <c r="B74" i="23"/>
  <c r="B70" i="23"/>
  <c r="B69" i="23"/>
  <c r="E62" i="23"/>
  <c r="E61" i="23"/>
  <c r="E60" i="23"/>
  <c r="E59" i="23"/>
  <c r="E56" i="23"/>
  <c r="D56" i="23"/>
  <c r="F54" i="23"/>
  <c r="F53" i="23"/>
  <c r="F52" i="23"/>
  <c r="F51" i="23"/>
  <c r="F50" i="23"/>
  <c r="F49" i="23"/>
  <c r="F48" i="23"/>
  <c r="F47" i="23"/>
  <c r="F46" i="23"/>
  <c r="F55" i="23"/>
  <c r="F45" i="23"/>
  <c r="B41" i="23"/>
  <c r="B40" i="23"/>
  <c r="G34" i="23"/>
  <c r="G94" i="23" s="1"/>
  <c r="E33" i="23"/>
  <c r="D33" i="23"/>
  <c r="E32" i="23"/>
  <c r="D32" i="23"/>
  <c r="E31" i="23"/>
  <c r="D31" i="23"/>
  <c r="E30" i="23"/>
  <c r="D30" i="23"/>
  <c r="D29" i="23"/>
  <c r="E27" i="23"/>
  <c r="D27" i="23"/>
  <c r="E25" i="23"/>
  <c r="D25" i="23"/>
  <c r="F23" i="23"/>
  <c r="F22" i="23"/>
  <c r="F21" i="23"/>
  <c r="F20" i="23"/>
  <c r="F19" i="23"/>
  <c r="F18" i="23"/>
  <c r="F17" i="23"/>
  <c r="F16" i="23"/>
  <c r="F15" i="23"/>
  <c r="F14" i="23"/>
  <c r="F13" i="23"/>
  <c r="F12" i="23"/>
  <c r="F11" i="23"/>
  <c r="E9" i="23"/>
  <c r="F9" i="23" s="1"/>
  <c r="F24" i="23" s="1"/>
  <c r="F25" i="23" s="1"/>
  <c r="F26" i="23" s="1"/>
  <c r="F10" i="23"/>
  <c r="G9" i="23"/>
  <c r="B4" i="23"/>
  <c r="E122" i="22"/>
  <c r="E121" i="22"/>
  <c r="E120" i="22"/>
  <c r="E119" i="22"/>
  <c r="E116" i="22"/>
  <c r="D116" i="22"/>
  <c r="F114" i="22"/>
  <c r="F113" i="22"/>
  <c r="B101" i="22"/>
  <c r="B100" i="22"/>
  <c r="E93" i="22"/>
  <c r="E92" i="22"/>
  <c r="E91" i="22"/>
  <c r="E90" i="22"/>
  <c r="E87" i="22"/>
  <c r="D87" i="22"/>
  <c r="E85" i="22"/>
  <c r="D85" i="22"/>
  <c r="G74" i="22"/>
  <c r="B74" i="22"/>
  <c r="B70" i="22"/>
  <c r="B69" i="22"/>
  <c r="E62" i="22"/>
  <c r="E61" i="22"/>
  <c r="E60" i="22"/>
  <c r="E59" i="22"/>
  <c r="E56" i="22"/>
  <c r="D56" i="22"/>
  <c r="B41" i="22"/>
  <c r="B40" i="22"/>
  <c r="G34" i="22"/>
  <c r="G94" i="22"/>
  <c r="E33" i="22"/>
  <c r="D33" i="22"/>
  <c r="D32" i="22"/>
  <c r="E31" i="22"/>
  <c r="D31" i="22"/>
  <c r="E30" i="22"/>
  <c r="D30" i="22"/>
  <c r="D29" i="22"/>
  <c r="D27" i="22"/>
  <c r="E25" i="22"/>
  <c r="D25" i="22"/>
  <c r="G9" i="22"/>
  <c r="B4" i="22"/>
  <c r="E122" i="21"/>
  <c r="E121" i="21"/>
  <c r="E120" i="21"/>
  <c r="E119" i="21"/>
  <c r="E116" i="21"/>
  <c r="D116" i="21"/>
  <c r="F114" i="21"/>
  <c r="F113" i="21"/>
  <c r="F112" i="21"/>
  <c r="B101" i="21"/>
  <c r="B100" i="21"/>
  <c r="E93" i="21"/>
  <c r="E92" i="21"/>
  <c r="E91" i="21"/>
  <c r="E90" i="21"/>
  <c r="E87" i="21"/>
  <c r="D87" i="21"/>
  <c r="E85" i="21"/>
  <c r="D85" i="21"/>
  <c r="F83" i="21"/>
  <c r="F82" i="21"/>
  <c r="F81" i="21"/>
  <c r="F80" i="21"/>
  <c r="F79" i="21"/>
  <c r="F78" i="21"/>
  <c r="F77" i="21"/>
  <c r="F76" i="21"/>
  <c r="F75" i="21"/>
  <c r="G74" i="21"/>
  <c r="B74" i="21"/>
  <c r="B70" i="21"/>
  <c r="B69" i="21"/>
  <c r="E62" i="21"/>
  <c r="E61" i="21"/>
  <c r="E60" i="21"/>
  <c r="E59" i="21"/>
  <c r="E56" i="21"/>
  <c r="D56" i="21"/>
  <c r="F54" i="21"/>
  <c r="F53" i="21"/>
  <c r="F52" i="21"/>
  <c r="F51" i="21"/>
  <c r="F55" i="21" s="1"/>
  <c r="F56" i="21" s="1"/>
  <c r="B41" i="21"/>
  <c r="B40" i="21"/>
  <c r="G34" i="21"/>
  <c r="G94" i="21"/>
  <c r="E33" i="21"/>
  <c r="D33" i="21"/>
  <c r="E32" i="21"/>
  <c r="D32" i="21"/>
  <c r="E31" i="21"/>
  <c r="D31" i="21"/>
  <c r="E30" i="21"/>
  <c r="D30" i="21"/>
  <c r="D29" i="21"/>
  <c r="D27" i="21"/>
  <c r="E25" i="21"/>
  <c r="D25" i="21"/>
  <c r="F23" i="21"/>
  <c r="F22" i="21"/>
  <c r="F21" i="21"/>
  <c r="F20" i="21"/>
  <c r="F19" i="21"/>
  <c r="F18" i="21"/>
  <c r="F17" i="21"/>
  <c r="F16" i="21"/>
  <c r="F15" i="21"/>
  <c r="G9" i="21"/>
  <c r="B4" i="21"/>
  <c r="F55" i="16"/>
  <c r="B29" i="6"/>
  <c r="B28" i="6"/>
  <c r="B27" i="6"/>
  <c r="B26" i="6"/>
  <c r="B25" i="6"/>
  <c r="B24" i="6"/>
  <c r="B23" i="6"/>
  <c r="E122" i="20"/>
  <c r="E121" i="20"/>
  <c r="E120" i="20"/>
  <c r="E119" i="20"/>
  <c r="E116" i="20"/>
  <c r="D116" i="20"/>
  <c r="F114" i="20"/>
  <c r="F113" i="20"/>
  <c r="F112" i="20"/>
  <c r="F111" i="20"/>
  <c r="F110" i="20"/>
  <c r="F109" i="20"/>
  <c r="F108" i="20"/>
  <c r="F107" i="20"/>
  <c r="F106" i="20"/>
  <c r="F105" i="20"/>
  <c r="F115" i="20" s="1"/>
  <c r="B101" i="20"/>
  <c r="B100" i="20"/>
  <c r="E93" i="20"/>
  <c r="E92" i="20"/>
  <c r="E91" i="20"/>
  <c r="E90" i="20"/>
  <c r="E87" i="20"/>
  <c r="D87" i="20"/>
  <c r="E85" i="20"/>
  <c r="D85" i="20"/>
  <c r="F83" i="20"/>
  <c r="F82" i="20"/>
  <c r="F81" i="20"/>
  <c r="F80" i="20"/>
  <c r="F79" i="20"/>
  <c r="F78" i="20"/>
  <c r="F77" i="20"/>
  <c r="F76" i="20"/>
  <c r="F75" i="20"/>
  <c r="G74" i="20"/>
  <c r="B74" i="20"/>
  <c r="B70" i="20"/>
  <c r="B69" i="20"/>
  <c r="E62" i="20"/>
  <c r="E61" i="20"/>
  <c r="E60" i="20"/>
  <c r="E59" i="20"/>
  <c r="D58" i="20"/>
  <c r="E56" i="20"/>
  <c r="D56" i="20"/>
  <c r="F54" i="20"/>
  <c r="F53" i="20"/>
  <c r="F52" i="20"/>
  <c r="F51" i="20"/>
  <c r="F50" i="20"/>
  <c r="F49" i="20"/>
  <c r="F48" i="20"/>
  <c r="F47" i="20"/>
  <c r="F46" i="20"/>
  <c r="F55" i="20"/>
  <c r="F45" i="20"/>
  <c r="B41" i="20"/>
  <c r="B40" i="20"/>
  <c r="G34" i="20"/>
  <c r="E33" i="20"/>
  <c r="D33" i="20"/>
  <c r="E32" i="20"/>
  <c r="D32" i="20"/>
  <c r="E31" i="20"/>
  <c r="D31" i="20"/>
  <c r="E30" i="20"/>
  <c r="D30" i="20"/>
  <c r="D29" i="20"/>
  <c r="E27" i="20"/>
  <c r="D27" i="20"/>
  <c r="E25" i="20"/>
  <c r="D25" i="20"/>
  <c r="F23" i="20"/>
  <c r="F22" i="20"/>
  <c r="F21" i="20"/>
  <c r="F20" i="20"/>
  <c r="F19" i="20"/>
  <c r="F18" i="20"/>
  <c r="F17" i="20"/>
  <c r="F16" i="20"/>
  <c r="F15" i="20"/>
  <c r="F14" i="20"/>
  <c r="F13" i="20"/>
  <c r="F12" i="20"/>
  <c r="F11" i="20"/>
  <c r="E9" i="20"/>
  <c r="F9" i="20" s="1"/>
  <c r="F24" i="20" s="1"/>
  <c r="F25" i="20" s="1"/>
  <c r="F26" i="20"/>
  <c r="F27" i="20" s="1"/>
  <c r="F10" i="20"/>
  <c r="G9" i="20"/>
  <c r="B4" i="20"/>
  <c r="E122" i="19"/>
  <c r="E121" i="19"/>
  <c r="E120" i="19"/>
  <c r="E119" i="19"/>
  <c r="D118" i="19"/>
  <c r="E116" i="19"/>
  <c r="D116" i="19"/>
  <c r="F114" i="19"/>
  <c r="F113" i="19"/>
  <c r="F112" i="19"/>
  <c r="F111" i="19"/>
  <c r="F110" i="19"/>
  <c r="F109" i="19"/>
  <c r="F108" i="19"/>
  <c r="F107" i="19"/>
  <c r="F106" i="19"/>
  <c r="F105" i="19"/>
  <c r="B101" i="19"/>
  <c r="B100" i="19"/>
  <c r="E93" i="19"/>
  <c r="E92" i="19"/>
  <c r="E91" i="19"/>
  <c r="E90" i="19"/>
  <c r="E87" i="19"/>
  <c r="D87" i="19"/>
  <c r="E85" i="19"/>
  <c r="D85" i="19"/>
  <c r="F83" i="19"/>
  <c r="F82" i="19"/>
  <c r="F81" i="19"/>
  <c r="F80" i="19"/>
  <c r="F79" i="19"/>
  <c r="F78" i="19"/>
  <c r="F77" i="19"/>
  <c r="F76" i="19"/>
  <c r="F75" i="19"/>
  <c r="E74" i="19" s="1"/>
  <c r="G74" i="19"/>
  <c r="B74" i="19"/>
  <c r="B70" i="19"/>
  <c r="B69" i="19"/>
  <c r="E62" i="19"/>
  <c r="E61" i="19"/>
  <c r="E60" i="19"/>
  <c r="E59" i="19"/>
  <c r="E56" i="19"/>
  <c r="D56" i="19"/>
  <c r="F54" i="19"/>
  <c r="F53" i="19"/>
  <c r="F52" i="19"/>
  <c r="F51" i="19"/>
  <c r="F50" i="19"/>
  <c r="F49" i="19"/>
  <c r="F48" i="19"/>
  <c r="F47" i="19"/>
  <c r="F46" i="19"/>
  <c r="F45" i="19"/>
  <c r="F55" i="19" s="1"/>
  <c r="B41" i="19"/>
  <c r="B40" i="19"/>
  <c r="G34" i="19"/>
  <c r="G94" i="19"/>
  <c r="E33" i="19"/>
  <c r="D33" i="19"/>
  <c r="E32" i="19"/>
  <c r="D32" i="19"/>
  <c r="E31" i="19"/>
  <c r="D31" i="19"/>
  <c r="E30" i="19"/>
  <c r="D30" i="19"/>
  <c r="D29" i="19"/>
  <c r="E27" i="19"/>
  <c r="D27" i="19"/>
  <c r="E25" i="19"/>
  <c r="D25" i="19"/>
  <c r="F23" i="19"/>
  <c r="F22" i="19"/>
  <c r="F21" i="19"/>
  <c r="F20" i="19"/>
  <c r="F19" i="19"/>
  <c r="F18" i="19"/>
  <c r="F17" i="19"/>
  <c r="F16" i="19"/>
  <c r="F15" i="19"/>
  <c r="F14" i="19"/>
  <c r="F13" i="19"/>
  <c r="F12" i="19"/>
  <c r="F11" i="19"/>
  <c r="F10" i="19"/>
  <c r="G9" i="19"/>
  <c r="B4" i="19"/>
  <c r="E122" i="18"/>
  <c r="E121" i="18"/>
  <c r="D121" i="18"/>
  <c r="E120" i="18"/>
  <c r="E119" i="18"/>
  <c r="E116" i="18"/>
  <c r="D116" i="18"/>
  <c r="F114" i="18"/>
  <c r="F113" i="18"/>
  <c r="F112" i="18"/>
  <c r="F111" i="18"/>
  <c r="F110" i="18"/>
  <c r="F109" i="18"/>
  <c r="F108" i="18"/>
  <c r="F107" i="18"/>
  <c r="F115" i="18"/>
  <c r="F106" i="18"/>
  <c r="F105" i="18"/>
  <c r="B101" i="18"/>
  <c r="B100" i="18"/>
  <c r="E93" i="18"/>
  <c r="E92" i="18"/>
  <c r="E91" i="18"/>
  <c r="E90" i="18"/>
  <c r="D90" i="18"/>
  <c r="E87" i="18"/>
  <c r="D87" i="18"/>
  <c r="E85" i="18"/>
  <c r="D85" i="18"/>
  <c r="F83" i="18"/>
  <c r="F82" i="18"/>
  <c r="F81" i="18"/>
  <c r="F80" i="18"/>
  <c r="F79" i="18"/>
  <c r="F78" i="18"/>
  <c r="F77" i="18"/>
  <c r="F76" i="18"/>
  <c r="F75" i="18"/>
  <c r="G74" i="18"/>
  <c r="B74" i="18"/>
  <c r="B70" i="18"/>
  <c r="B69" i="18"/>
  <c r="E62" i="18"/>
  <c r="E61" i="18"/>
  <c r="E60" i="18"/>
  <c r="E59" i="18"/>
  <c r="E56" i="18"/>
  <c r="D56" i="18"/>
  <c r="F54" i="18"/>
  <c r="F53" i="18"/>
  <c r="F52" i="18"/>
  <c r="F51" i="18"/>
  <c r="F50" i="18"/>
  <c r="F49" i="18"/>
  <c r="F48" i="18"/>
  <c r="F47" i="18"/>
  <c r="F46" i="18"/>
  <c r="F45" i="18"/>
  <c r="B41" i="18"/>
  <c r="B40" i="18"/>
  <c r="G34" i="18"/>
  <c r="G94" i="18"/>
  <c r="E33" i="18"/>
  <c r="D33" i="18"/>
  <c r="E32" i="18"/>
  <c r="D32" i="18"/>
  <c r="E31" i="18"/>
  <c r="D31" i="18"/>
  <c r="E30" i="18"/>
  <c r="D30" i="18"/>
  <c r="D29" i="18"/>
  <c r="E27" i="18"/>
  <c r="D27" i="18"/>
  <c r="E25" i="18"/>
  <c r="D25" i="18"/>
  <c r="F23" i="18"/>
  <c r="F22" i="18"/>
  <c r="F21" i="18"/>
  <c r="F20" i="18"/>
  <c r="F19" i="18"/>
  <c r="F18" i="18"/>
  <c r="F17" i="18"/>
  <c r="F16" i="18"/>
  <c r="F15" i="18"/>
  <c r="F14" i="18"/>
  <c r="F13" i="18"/>
  <c r="F12" i="18"/>
  <c r="F11" i="18"/>
  <c r="F10" i="18"/>
  <c r="E9" i="18" s="1"/>
  <c r="F9" i="18" s="1"/>
  <c r="F24" i="18" s="1"/>
  <c r="F25" i="18" s="1"/>
  <c r="F26" i="18" s="1"/>
  <c r="G9" i="18"/>
  <c r="B4" i="18"/>
  <c r="E122" i="17"/>
  <c r="E121" i="17"/>
  <c r="E120" i="17"/>
  <c r="E119" i="17"/>
  <c r="E116" i="17"/>
  <c r="F116" i="17" s="1"/>
  <c r="D116" i="17"/>
  <c r="F115" i="17"/>
  <c r="B101" i="17"/>
  <c r="B100" i="17"/>
  <c r="E93" i="17"/>
  <c r="E92" i="17"/>
  <c r="E91" i="17"/>
  <c r="E90" i="17"/>
  <c r="G74" i="17"/>
  <c r="B74" i="17"/>
  <c r="B70" i="17"/>
  <c r="B69" i="17"/>
  <c r="E62" i="17"/>
  <c r="E61" i="17"/>
  <c r="E60" i="17"/>
  <c r="E59" i="17"/>
  <c r="E56" i="17"/>
  <c r="F56" i="17" s="1"/>
  <c r="D56" i="17"/>
  <c r="F55" i="17"/>
  <c r="B41" i="17"/>
  <c r="B40" i="17"/>
  <c r="G34" i="17"/>
  <c r="G94" i="17" s="1"/>
  <c r="E33" i="17"/>
  <c r="D33" i="17"/>
  <c r="E32" i="17"/>
  <c r="D32" i="17"/>
  <c r="E31" i="17"/>
  <c r="D31" i="17"/>
  <c r="E30" i="17"/>
  <c r="D30" i="17"/>
  <c r="D29" i="17"/>
  <c r="E27" i="17"/>
  <c r="D27" i="17"/>
  <c r="E25" i="17"/>
  <c r="D25" i="17"/>
  <c r="E9" i="17"/>
  <c r="F9" i="17" s="1"/>
  <c r="F24" i="17" s="1"/>
  <c r="F25" i="17" s="1"/>
  <c r="F26" i="17" s="1"/>
  <c r="G9" i="17"/>
  <c r="B4" i="17"/>
  <c r="E122" i="16"/>
  <c r="D122" i="16"/>
  <c r="E121" i="16"/>
  <c r="E120" i="16"/>
  <c r="E119" i="16"/>
  <c r="E116" i="16"/>
  <c r="D116" i="16"/>
  <c r="B101" i="16"/>
  <c r="B100" i="16"/>
  <c r="E93" i="16"/>
  <c r="E92" i="16"/>
  <c r="E91" i="16"/>
  <c r="E90" i="16"/>
  <c r="E87" i="16"/>
  <c r="D87" i="16"/>
  <c r="E85" i="16"/>
  <c r="D85" i="16"/>
  <c r="G74" i="16"/>
  <c r="B74" i="16"/>
  <c r="B70" i="16"/>
  <c r="B69" i="16"/>
  <c r="E62" i="16"/>
  <c r="E61" i="16"/>
  <c r="E60" i="16"/>
  <c r="E59" i="16"/>
  <c r="E56" i="16"/>
  <c r="D56" i="16"/>
  <c r="B41" i="16"/>
  <c r="B40" i="16"/>
  <c r="G34" i="16"/>
  <c r="G94" i="16"/>
  <c r="E33" i="16"/>
  <c r="D33" i="16"/>
  <c r="E32" i="16"/>
  <c r="D32" i="16"/>
  <c r="E31" i="16"/>
  <c r="D31" i="16"/>
  <c r="E30" i="16"/>
  <c r="D30" i="16"/>
  <c r="D29" i="16"/>
  <c r="E27" i="16"/>
  <c r="D27" i="16"/>
  <c r="E25" i="16"/>
  <c r="D25" i="16"/>
  <c r="F23" i="16"/>
  <c r="F22" i="16"/>
  <c r="F20" i="16"/>
  <c r="F17" i="16"/>
  <c r="F14" i="16"/>
  <c r="F13" i="16"/>
  <c r="G9" i="16"/>
  <c r="B4" i="16"/>
  <c r="E122" i="15"/>
  <c r="E121" i="15"/>
  <c r="D121" i="15"/>
  <c r="E120" i="15"/>
  <c r="E119" i="15"/>
  <c r="D118" i="15"/>
  <c r="E116" i="15"/>
  <c r="D116" i="15"/>
  <c r="F114" i="15"/>
  <c r="F113" i="15"/>
  <c r="F112" i="15"/>
  <c r="F111" i="15"/>
  <c r="F110" i="15"/>
  <c r="F115" i="15"/>
  <c r="F116" i="15" s="1"/>
  <c r="B101" i="15"/>
  <c r="B100" i="15"/>
  <c r="E93" i="15"/>
  <c r="D93" i="15"/>
  <c r="E92" i="15"/>
  <c r="E91" i="15"/>
  <c r="E90" i="15"/>
  <c r="E87" i="15"/>
  <c r="D87" i="15"/>
  <c r="E85" i="15"/>
  <c r="D85" i="15"/>
  <c r="F83" i="15"/>
  <c r="F82" i="15"/>
  <c r="F81" i="15"/>
  <c r="F80" i="15"/>
  <c r="F79" i="15"/>
  <c r="F78" i="15"/>
  <c r="G74" i="15"/>
  <c r="B74" i="15"/>
  <c r="B70" i="15"/>
  <c r="B69" i="15"/>
  <c r="E62" i="15"/>
  <c r="E61" i="15"/>
  <c r="E60" i="15"/>
  <c r="D60" i="15"/>
  <c r="E59" i="15"/>
  <c r="E56" i="15"/>
  <c r="D56" i="15"/>
  <c r="F54" i="15"/>
  <c r="F53" i="15"/>
  <c r="F52" i="15"/>
  <c r="F51" i="15"/>
  <c r="F50" i="15"/>
  <c r="F49" i="15"/>
  <c r="F48" i="15"/>
  <c r="F47" i="15"/>
  <c r="F46" i="15"/>
  <c r="B41" i="15"/>
  <c r="B40" i="15"/>
  <c r="G34" i="15"/>
  <c r="G94" i="15"/>
  <c r="E33" i="15"/>
  <c r="D33" i="15"/>
  <c r="E32" i="15"/>
  <c r="D32" i="15"/>
  <c r="E31" i="15"/>
  <c r="D31" i="15"/>
  <c r="E30" i="15"/>
  <c r="D30" i="15"/>
  <c r="D29" i="15"/>
  <c r="E27" i="15"/>
  <c r="D27" i="15"/>
  <c r="E25" i="15"/>
  <c r="D25" i="15"/>
  <c r="F23" i="15"/>
  <c r="F22" i="15"/>
  <c r="F21" i="15"/>
  <c r="F20" i="15"/>
  <c r="F19" i="15"/>
  <c r="E9" i="15" s="1"/>
  <c r="F9" i="15" s="1"/>
  <c r="F24" i="15" s="1"/>
  <c r="F25" i="15" s="1"/>
  <c r="F26" i="15" s="1"/>
  <c r="F18" i="15"/>
  <c r="G9" i="15"/>
  <c r="B4" i="15"/>
  <c r="F9" i="30"/>
  <c r="F24" i="30"/>
  <c r="F25" i="30"/>
  <c r="F26" i="30" s="1"/>
  <c r="E9" i="19"/>
  <c r="F9" i="19" s="1"/>
  <c r="F24" i="19" s="1"/>
  <c r="F25" i="19" s="1"/>
  <c r="F26" i="19"/>
  <c r="E9" i="27"/>
  <c r="F9" i="27"/>
  <c r="F24" i="27"/>
  <c r="F25" i="27" s="1"/>
  <c r="F26" i="27" s="1"/>
  <c r="F57" i="32"/>
  <c r="F56" i="32"/>
  <c r="G63" i="32"/>
  <c r="G123" i="32" s="1"/>
  <c r="F28" i="31"/>
  <c r="F116" i="31"/>
  <c r="F117" i="31" s="1"/>
  <c r="G63" i="31"/>
  <c r="G123" i="31" s="1"/>
  <c r="F56" i="30"/>
  <c r="F57" i="30"/>
  <c r="F116" i="30"/>
  <c r="F117" i="30" s="1"/>
  <c r="G63" i="30"/>
  <c r="G123" i="30"/>
  <c r="F27" i="29"/>
  <c r="F28" i="29" s="1"/>
  <c r="G63" i="29"/>
  <c r="G123" i="29" s="1"/>
  <c r="F56" i="28"/>
  <c r="F57" i="28" s="1"/>
  <c r="G63" i="28"/>
  <c r="G123" i="28"/>
  <c r="F116" i="27"/>
  <c r="F117" i="27" s="1"/>
  <c r="F121" i="27" s="1"/>
  <c r="F56" i="27"/>
  <c r="F57" i="27"/>
  <c r="F62" i="27" s="1"/>
  <c r="G63" i="27"/>
  <c r="G123" i="27" s="1"/>
  <c r="G63" i="26"/>
  <c r="G123" i="26"/>
  <c r="F56" i="25"/>
  <c r="F57" i="25" s="1"/>
  <c r="G63" i="25"/>
  <c r="G123" i="25"/>
  <c r="F116" i="24"/>
  <c r="F117" i="24" s="1"/>
  <c r="F56" i="24"/>
  <c r="F57" i="24" s="1"/>
  <c r="F61" i="24" s="1"/>
  <c r="G63" i="24"/>
  <c r="G123" i="24"/>
  <c r="F116" i="23"/>
  <c r="F117" i="23"/>
  <c r="F56" i="23"/>
  <c r="F57" i="23"/>
  <c r="G63" i="23"/>
  <c r="G123" i="23"/>
  <c r="G63" i="22"/>
  <c r="G123" i="22"/>
  <c r="G63" i="21"/>
  <c r="G123" i="21"/>
  <c r="F28" i="20"/>
  <c r="G63" i="19"/>
  <c r="G123" i="19" s="1"/>
  <c r="F116" i="18"/>
  <c r="F117" i="18"/>
  <c r="F121" i="18" s="1"/>
  <c r="G63" i="18"/>
  <c r="G123" i="18" s="1"/>
  <c r="G63" i="17"/>
  <c r="G123" i="17"/>
  <c r="G63" i="16"/>
  <c r="G123" i="16"/>
  <c r="G63" i="15"/>
  <c r="G123" i="15" s="1"/>
  <c r="F32" i="31"/>
  <c r="F119" i="31"/>
  <c r="F61" i="30"/>
  <c r="F60" i="30"/>
  <c r="F62" i="30"/>
  <c r="F119" i="30"/>
  <c r="F30" i="29"/>
  <c r="F31" i="29"/>
  <c r="F61" i="28"/>
  <c r="F59" i="28"/>
  <c r="F62" i="28"/>
  <c r="F60" i="28"/>
  <c r="F61" i="27"/>
  <c r="F59" i="27"/>
  <c r="F63" i="27"/>
  <c r="F60" i="27"/>
  <c r="F59" i="25"/>
  <c r="F62" i="25"/>
  <c r="F59" i="24"/>
  <c r="F60" i="24"/>
  <c r="F120" i="23"/>
  <c r="F119" i="23"/>
  <c r="F121" i="23"/>
  <c r="F122" i="23"/>
  <c r="F60" i="23"/>
  <c r="D56" i="12"/>
  <c r="D56" i="14"/>
  <c r="D56" i="10"/>
  <c r="D56" i="13"/>
  <c r="D56" i="7"/>
  <c r="D56" i="1"/>
  <c r="D56" i="8"/>
  <c r="D56" i="9"/>
  <c r="D56" i="11"/>
  <c r="G74" i="11"/>
  <c r="G74" i="12"/>
  <c r="G74" i="14"/>
  <c r="G74" i="10"/>
  <c r="G74" i="13"/>
  <c r="G74" i="7"/>
  <c r="G74" i="1"/>
  <c r="G74" i="8"/>
  <c r="G74" i="9"/>
  <c r="B74" i="11"/>
  <c r="B74" i="12"/>
  <c r="B74" i="14"/>
  <c r="B74" i="10"/>
  <c r="B74" i="13"/>
  <c r="B74" i="7"/>
  <c r="B74" i="1"/>
  <c r="B74" i="8"/>
  <c r="B74" i="9"/>
  <c r="B48" i="4"/>
  <c r="D120" i="9" s="1"/>
  <c r="B49" i="4"/>
  <c r="D121" i="12" s="1"/>
  <c r="B50" i="4"/>
  <c r="D122" i="12"/>
  <c r="B47" i="4"/>
  <c r="D119" i="14" s="1"/>
  <c r="B46" i="4"/>
  <c r="B38" i="4"/>
  <c r="B39" i="4"/>
  <c r="D92" i="14" s="1"/>
  <c r="B40" i="4"/>
  <c r="D93" i="12"/>
  <c r="B37" i="4"/>
  <c r="D90" i="17" s="1"/>
  <c r="B36" i="4"/>
  <c r="B26" i="4"/>
  <c r="D62" i="17" s="1"/>
  <c r="B25" i="4"/>
  <c r="D61" i="16" s="1"/>
  <c r="B24" i="4"/>
  <c r="D60" i="17" s="1"/>
  <c r="B23" i="4"/>
  <c r="B22" i="4"/>
  <c r="D58" i="13" s="1"/>
  <c r="B100" i="12"/>
  <c r="B100" i="14"/>
  <c r="B100" i="10"/>
  <c r="B100" i="13"/>
  <c r="B100" i="7"/>
  <c r="B100" i="1"/>
  <c r="B100" i="8"/>
  <c r="B100" i="9"/>
  <c r="B100" i="11"/>
  <c r="B69" i="12"/>
  <c r="B69" i="14"/>
  <c r="B69" i="10"/>
  <c r="B69" i="13"/>
  <c r="B69" i="7"/>
  <c r="B69" i="1"/>
  <c r="B69" i="8"/>
  <c r="B69" i="9"/>
  <c r="B69" i="11"/>
  <c r="B40" i="12"/>
  <c r="B40" i="14"/>
  <c r="B40" i="10"/>
  <c r="B40" i="13"/>
  <c r="B40" i="7"/>
  <c r="B40" i="1"/>
  <c r="B40" i="8"/>
  <c r="B40" i="9"/>
  <c r="B40" i="11"/>
  <c r="B4" i="12"/>
  <c r="B4" i="14"/>
  <c r="B4" i="10"/>
  <c r="B4" i="13"/>
  <c r="B4" i="7"/>
  <c r="B4" i="1"/>
  <c r="B4" i="8"/>
  <c r="B4" i="9"/>
  <c r="B4" i="11"/>
  <c r="E85" i="12"/>
  <c r="E85" i="14"/>
  <c r="E85" i="10"/>
  <c r="E85" i="13"/>
  <c r="E85" i="7"/>
  <c r="E85" i="1"/>
  <c r="E85" i="8"/>
  <c r="E85" i="9"/>
  <c r="E85" i="11"/>
  <c r="E87" i="12"/>
  <c r="E87" i="14"/>
  <c r="E87" i="10"/>
  <c r="E87" i="13"/>
  <c r="E87" i="7"/>
  <c r="E87" i="1"/>
  <c r="E87" i="8"/>
  <c r="E87" i="9"/>
  <c r="E87" i="11"/>
  <c r="D87" i="12"/>
  <c r="D87" i="14"/>
  <c r="D87" i="10"/>
  <c r="D87" i="13"/>
  <c r="D87" i="7"/>
  <c r="D87" i="1"/>
  <c r="D87" i="8"/>
  <c r="D87" i="9"/>
  <c r="D87" i="11"/>
  <c r="D85" i="12"/>
  <c r="D85" i="14"/>
  <c r="D85" i="10"/>
  <c r="D85" i="13"/>
  <c r="D85" i="7"/>
  <c r="D85" i="1"/>
  <c r="D85" i="8"/>
  <c r="D85" i="9"/>
  <c r="D85" i="11"/>
  <c r="E91" i="12"/>
  <c r="E92" i="12"/>
  <c r="E93" i="12"/>
  <c r="E91" i="14"/>
  <c r="E92" i="14"/>
  <c r="E93" i="14"/>
  <c r="E91" i="10"/>
  <c r="E92" i="10"/>
  <c r="E93" i="10"/>
  <c r="E91" i="13"/>
  <c r="E92" i="13"/>
  <c r="E93" i="13"/>
  <c r="E91" i="7"/>
  <c r="E92" i="7"/>
  <c r="E93" i="7"/>
  <c r="E91" i="1"/>
  <c r="E92" i="1"/>
  <c r="E93" i="1"/>
  <c r="E91" i="8"/>
  <c r="E92" i="8"/>
  <c r="E93" i="8"/>
  <c r="E91" i="9"/>
  <c r="E92" i="9"/>
  <c r="E93" i="9"/>
  <c r="E91" i="11"/>
  <c r="E92" i="11"/>
  <c r="E93" i="11"/>
  <c r="E90" i="12"/>
  <c r="E90" i="14"/>
  <c r="E90" i="10"/>
  <c r="E90" i="13"/>
  <c r="E90" i="7"/>
  <c r="E90" i="1"/>
  <c r="E90" i="8"/>
  <c r="E90" i="9"/>
  <c r="E90" i="11"/>
  <c r="E120" i="12"/>
  <c r="E121" i="12"/>
  <c r="E122" i="12"/>
  <c r="E120" i="14"/>
  <c r="E121" i="14"/>
  <c r="E122" i="14"/>
  <c r="E120" i="10"/>
  <c r="E121" i="10"/>
  <c r="E122" i="10"/>
  <c r="E120" i="13"/>
  <c r="E121" i="13"/>
  <c r="E122" i="13"/>
  <c r="E120" i="7"/>
  <c r="E121" i="7"/>
  <c r="E122" i="7"/>
  <c r="E120" i="1"/>
  <c r="E121" i="1"/>
  <c r="E122" i="1"/>
  <c r="E120" i="8"/>
  <c r="E121" i="8"/>
  <c r="E122" i="8"/>
  <c r="E120" i="9"/>
  <c r="E121" i="9"/>
  <c r="E122" i="9"/>
  <c r="E120" i="11"/>
  <c r="E121" i="11"/>
  <c r="E122" i="11"/>
  <c r="E116" i="12"/>
  <c r="E116" i="14"/>
  <c r="E116" i="10"/>
  <c r="E116" i="13"/>
  <c r="E116" i="7"/>
  <c r="E116" i="1"/>
  <c r="E116" i="8"/>
  <c r="E116" i="9"/>
  <c r="E116" i="11"/>
  <c r="E119" i="12"/>
  <c r="E119" i="14"/>
  <c r="E119" i="10"/>
  <c r="E119" i="13"/>
  <c r="E119" i="7"/>
  <c r="E119" i="1"/>
  <c r="E119" i="8"/>
  <c r="E119" i="9"/>
  <c r="E119" i="11"/>
  <c r="D116" i="12"/>
  <c r="D116" i="14"/>
  <c r="D116" i="10"/>
  <c r="D116" i="13"/>
  <c r="D116" i="7"/>
  <c r="D116" i="1"/>
  <c r="D116" i="8"/>
  <c r="D116" i="9"/>
  <c r="D116" i="11"/>
  <c r="D120" i="14"/>
  <c r="D122" i="14"/>
  <c r="D119" i="10"/>
  <c r="D122" i="10"/>
  <c r="D122" i="1"/>
  <c r="D119" i="8"/>
  <c r="D122" i="8"/>
  <c r="D118" i="12"/>
  <c r="D118" i="14"/>
  <c r="D118" i="10"/>
  <c r="D118" i="13"/>
  <c r="D118" i="7"/>
  <c r="D118" i="1"/>
  <c r="D118" i="8"/>
  <c r="D118" i="9"/>
  <c r="D118" i="11"/>
  <c r="D92" i="12"/>
  <c r="D92" i="10"/>
  <c r="D91" i="13"/>
  <c r="D92" i="7"/>
  <c r="D91" i="8"/>
  <c r="D92" i="8"/>
  <c r="D92" i="11"/>
  <c r="D89" i="12"/>
  <c r="D89" i="14"/>
  <c r="D89" i="10"/>
  <c r="D89" i="13"/>
  <c r="D89" i="7"/>
  <c r="D89" i="1"/>
  <c r="D89" i="8"/>
  <c r="D89" i="9"/>
  <c r="D89" i="11"/>
  <c r="E60" i="12"/>
  <c r="E61" i="12"/>
  <c r="E62" i="12"/>
  <c r="E60" i="14"/>
  <c r="E61" i="14"/>
  <c r="E62" i="14"/>
  <c r="E60" i="10"/>
  <c r="E61" i="10"/>
  <c r="E62" i="10"/>
  <c r="E60" i="13"/>
  <c r="E61" i="13"/>
  <c r="E62" i="13"/>
  <c r="E60" i="7"/>
  <c r="E61" i="7"/>
  <c r="E62" i="7"/>
  <c r="E60" i="1"/>
  <c r="E61" i="1"/>
  <c r="E62" i="1"/>
  <c r="E60" i="8"/>
  <c r="E61" i="8"/>
  <c r="E60" i="9"/>
  <c r="E61" i="9"/>
  <c r="E62" i="9"/>
  <c r="E60" i="11"/>
  <c r="E61" i="11"/>
  <c r="E62" i="11"/>
  <c r="D59" i="12"/>
  <c r="D60" i="12"/>
  <c r="D61" i="12"/>
  <c r="D59" i="14"/>
  <c r="D60" i="14"/>
  <c r="D61" i="14"/>
  <c r="D59" i="10"/>
  <c r="D60" i="10"/>
  <c r="D61" i="10"/>
  <c r="D59" i="13"/>
  <c r="D60" i="13"/>
  <c r="D61" i="13"/>
  <c r="D59" i="7"/>
  <c r="D60" i="7"/>
  <c r="D61" i="7"/>
  <c r="D59" i="1"/>
  <c r="D60" i="1"/>
  <c r="D61" i="1"/>
  <c r="D59" i="8"/>
  <c r="D60" i="8"/>
  <c r="D61" i="8"/>
  <c r="D59" i="9"/>
  <c r="D60" i="9"/>
  <c r="D61" i="9"/>
  <c r="D59" i="11"/>
  <c r="D60" i="11"/>
  <c r="D61" i="11"/>
  <c r="E59" i="12"/>
  <c r="E59" i="14"/>
  <c r="E59" i="10"/>
  <c r="E59" i="13"/>
  <c r="E59" i="7"/>
  <c r="E59" i="1"/>
  <c r="E59" i="8"/>
  <c r="E59" i="9"/>
  <c r="E59" i="11"/>
  <c r="D58" i="9"/>
  <c r="E31" i="12"/>
  <c r="E32" i="12"/>
  <c r="E33" i="12"/>
  <c r="E31" i="14"/>
  <c r="E32" i="14"/>
  <c r="E33" i="14"/>
  <c r="E31" i="10"/>
  <c r="E32" i="10"/>
  <c r="E33" i="10"/>
  <c r="E31" i="13"/>
  <c r="E32" i="13"/>
  <c r="E33" i="13"/>
  <c r="E31" i="7"/>
  <c r="E32" i="7"/>
  <c r="E33" i="7"/>
  <c r="E31" i="1"/>
  <c r="E32" i="1"/>
  <c r="E33" i="1"/>
  <c r="E31" i="8"/>
  <c r="E31" i="9"/>
  <c r="E32" i="9"/>
  <c r="E33" i="9"/>
  <c r="E30" i="12"/>
  <c r="E30" i="14"/>
  <c r="E30" i="10"/>
  <c r="E30" i="13"/>
  <c r="E30" i="7"/>
  <c r="E30" i="1"/>
  <c r="E30" i="8"/>
  <c r="E30" i="9"/>
  <c r="D25" i="12"/>
  <c r="D25" i="14"/>
  <c r="D25" i="10"/>
  <c r="D25" i="13"/>
  <c r="D25" i="7"/>
  <c r="D25" i="1"/>
  <c r="D25" i="8"/>
  <c r="D25" i="9"/>
  <c r="D27" i="12"/>
  <c r="D27" i="14"/>
  <c r="D27" i="10"/>
  <c r="D27" i="13"/>
  <c r="D27" i="7"/>
  <c r="D27" i="1"/>
  <c r="D27" i="8"/>
  <c r="D27" i="9"/>
  <c r="D31" i="12"/>
  <c r="D32" i="12"/>
  <c r="D33" i="12"/>
  <c r="D31" i="14"/>
  <c r="D32" i="14"/>
  <c r="D33" i="14"/>
  <c r="D31" i="10"/>
  <c r="D32" i="10"/>
  <c r="D33" i="10"/>
  <c r="D31" i="13"/>
  <c r="D32" i="13"/>
  <c r="D33" i="13"/>
  <c r="D31" i="7"/>
  <c r="D32" i="7"/>
  <c r="D33" i="7"/>
  <c r="D31" i="1"/>
  <c r="D32" i="1"/>
  <c r="D33" i="1"/>
  <c r="D31" i="8"/>
  <c r="D32" i="8"/>
  <c r="D33" i="8"/>
  <c r="D31" i="9"/>
  <c r="D32" i="9"/>
  <c r="D33" i="9"/>
  <c r="D30" i="12"/>
  <c r="D30" i="14"/>
  <c r="D30" i="10"/>
  <c r="D30" i="13"/>
  <c r="D30" i="7"/>
  <c r="D30" i="1"/>
  <c r="D30" i="8"/>
  <c r="D30" i="9"/>
  <c r="D29" i="12"/>
  <c r="D29" i="14"/>
  <c r="D29" i="10"/>
  <c r="D29" i="13"/>
  <c r="D29" i="7"/>
  <c r="D29" i="1"/>
  <c r="D29" i="8"/>
  <c r="D29" i="9"/>
  <c r="D119" i="11"/>
  <c r="D119" i="1"/>
  <c r="D119" i="13"/>
  <c r="D119" i="12"/>
  <c r="D119" i="9"/>
  <c r="D119" i="7"/>
  <c r="D93" i="8"/>
  <c r="D92" i="9"/>
  <c r="D92" i="1"/>
  <c r="D92" i="13"/>
  <c r="D93" i="14"/>
  <c r="D93" i="10"/>
  <c r="D122" i="9"/>
  <c r="D122" i="13"/>
  <c r="D93" i="1"/>
  <c r="D122" i="11"/>
  <c r="D122" i="7"/>
  <c r="D121" i="11"/>
  <c r="D121" i="9"/>
  <c r="D121" i="8"/>
  <c r="D121" i="1"/>
  <c r="D121" i="7"/>
  <c r="D121" i="13"/>
  <c r="D121" i="10"/>
  <c r="D121" i="14"/>
  <c r="D93" i="9"/>
  <c r="D93" i="13"/>
  <c r="D93" i="11"/>
  <c r="D93" i="7"/>
  <c r="D90" i="11"/>
  <c r="D90" i="9"/>
  <c r="D90" i="8"/>
  <c r="D90" i="1"/>
  <c r="D90" i="7"/>
  <c r="D90" i="13"/>
  <c r="D90" i="10"/>
  <c r="D90" i="14"/>
  <c r="B101" i="12"/>
  <c r="B101" i="14"/>
  <c r="B101" i="10"/>
  <c r="B101" i="13"/>
  <c r="B101" i="7"/>
  <c r="B101" i="1"/>
  <c r="B101" i="8"/>
  <c r="B101" i="9"/>
  <c r="B101" i="11"/>
  <c r="F114" i="14"/>
  <c r="F113" i="14"/>
  <c r="F112" i="14"/>
  <c r="F111" i="14"/>
  <c r="F110" i="14"/>
  <c r="F115" i="14" s="1"/>
  <c r="F109" i="14"/>
  <c r="F105" i="14"/>
  <c r="F114" i="10"/>
  <c r="F113" i="10"/>
  <c r="F112" i="10"/>
  <c r="F111" i="10"/>
  <c r="F110" i="10"/>
  <c r="F109" i="10"/>
  <c r="F115" i="10" s="1"/>
  <c r="F108" i="10"/>
  <c r="F107" i="10"/>
  <c r="F106" i="10"/>
  <c r="F114" i="7"/>
  <c r="F113" i="7"/>
  <c r="F112" i="7"/>
  <c r="F111" i="7"/>
  <c r="F110" i="7"/>
  <c r="F115" i="7" s="1"/>
  <c r="F116" i="7" s="1"/>
  <c r="F114" i="1"/>
  <c r="F113" i="1"/>
  <c r="F112" i="1"/>
  <c r="F111" i="1"/>
  <c r="F110" i="1"/>
  <c r="F109" i="1"/>
  <c r="F108" i="1"/>
  <c r="F107" i="1"/>
  <c r="F106" i="1"/>
  <c r="F105" i="1"/>
  <c r="F114" i="8"/>
  <c r="F113" i="8"/>
  <c r="F112" i="8"/>
  <c r="F111" i="8"/>
  <c r="F110" i="8"/>
  <c r="F109" i="8"/>
  <c r="F108" i="8"/>
  <c r="F107" i="8"/>
  <c r="F106" i="8"/>
  <c r="F105" i="8"/>
  <c r="F114" i="9"/>
  <c r="F113" i="9"/>
  <c r="F112" i="9"/>
  <c r="F111" i="9"/>
  <c r="F110" i="9"/>
  <c r="F109" i="9"/>
  <c r="F108" i="9"/>
  <c r="F107" i="9"/>
  <c r="F106" i="9"/>
  <c r="F105" i="9"/>
  <c r="F115" i="9" s="1"/>
  <c r="F114" i="11"/>
  <c r="F113" i="11"/>
  <c r="F112" i="11"/>
  <c r="F111" i="11"/>
  <c r="F110" i="11"/>
  <c r="F109" i="11"/>
  <c r="F108" i="11"/>
  <c r="F107" i="11"/>
  <c r="F106" i="11"/>
  <c r="F105" i="11"/>
  <c r="F115" i="11" s="1"/>
  <c r="F116" i="11"/>
  <c r="F117" i="7"/>
  <c r="G34" i="9"/>
  <c r="G63" i="9" s="1"/>
  <c r="G123" i="9" s="1"/>
  <c r="G34" i="8"/>
  <c r="G34" i="1"/>
  <c r="G34" i="7"/>
  <c r="G34" i="13"/>
  <c r="G63" i="13" s="1"/>
  <c r="G123" i="13" s="1"/>
  <c r="G34" i="10"/>
  <c r="F120" i="7"/>
  <c r="G34" i="14"/>
  <c r="G34" i="12"/>
  <c r="G34" i="11"/>
  <c r="B62" i="6"/>
  <c r="B41" i="6"/>
  <c r="B32" i="6"/>
  <c r="B18" i="6"/>
  <c r="B17" i="6"/>
  <c r="B16" i="6"/>
  <c r="B12" i="6"/>
  <c r="B11" i="6"/>
  <c r="B10" i="6"/>
  <c r="F83" i="14"/>
  <c r="F82" i="14"/>
  <c r="F81" i="14"/>
  <c r="F80" i="14"/>
  <c r="F79" i="14"/>
  <c r="F78" i="14"/>
  <c r="F77" i="14"/>
  <c r="F76" i="14"/>
  <c r="F75" i="14"/>
  <c r="E74" i="14" s="1"/>
  <c r="B70" i="14"/>
  <c r="E56" i="14"/>
  <c r="F54" i="14"/>
  <c r="F53" i="14"/>
  <c r="F52" i="14"/>
  <c r="F51" i="14"/>
  <c r="F50" i="14"/>
  <c r="F49" i="14"/>
  <c r="F48" i="14"/>
  <c r="F47" i="14"/>
  <c r="F46" i="14"/>
  <c r="F45" i="14"/>
  <c r="B41" i="14"/>
  <c r="E27" i="14"/>
  <c r="E25" i="14"/>
  <c r="F23" i="14"/>
  <c r="F22" i="14"/>
  <c r="F21" i="14"/>
  <c r="F20" i="14"/>
  <c r="F19" i="14"/>
  <c r="F18" i="14"/>
  <c r="F17" i="14"/>
  <c r="F16" i="14"/>
  <c r="F15" i="14"/>
  <c r="F14" i="14"/>
  <c r="F13" i="14"/>
  <c r="F12" i="14"/>
  <c r="F10" i="14"/>
  <c r="G9" i="14"/>
  <c r="F83" i="13"/>
  <c r="F82" i="13"/>
  <c r="F81" i="13"/>
  <c r="F80" i="13"/>
  <c r="F79" i="13"/>
  <c r="F78" i="13"/>
  <c r="F77" i="13"/>
  <c r="F76" i="13"/>
  <c r="E74" i="13"/>
  <c r="F74" i="13" s="1"/>
  <c r="F84" i="13" s="1"/>
  <c r="F85" i="13" s="1"/>
  <c r="F86" i="13" s="1"/>
  <c r="B70" i="13"/>
  <c r="E56" i="13"/>
  <c r="F54" i="13"/>
  <c r="F53" i="13"/>
  <c r="F55" i="13" s="1"/>
  <c r="B41" i="13"/>
  <c r="E27" i="13"/>
  <c r="E25" i="13"/>
  <c r="F23" i="13"/>
  <c r="F22" i="13"/>
  <c r="E9" i="13"/>
  <c r="F9" i="13" s="1"/>
  <c r="F24" i="13" s="1"/>
  <c r="F25" i="13" s="1"/>
  <c r="F26" i="13" s="1"/>
  <c r="G9" i="13"/>
  <c r="F83" i="12"/>
  <c r="F82" i="12"/>
  <c r="F81" i="12"/>
  <c r="F80" i="12"/>
  <c r="F79" i="12"/>
  <c r="F78" i="12"/>
  <c r="F77" i="12"/>
  <c r="F76" i="12"/>
  <c r="B70" i="12"/>
  <c r="E56" i="12"/>
  <c r="F54" i="12"/>
  <c r="F55" i="12" s="1"/>
  <c r="F56" i="12" s="1"/>
  <c r="F53" i="12"/>
  <c r="F52" i="12"/>
  <c r="B41" i="12"/>
  <c r="G63" i="12"/>
  <c r="G123" i="12" s="1"/>
  <c r="E27" i="12"/>
  <c r="E25" i="12"/>
  <c r="F23" i="12"/>
  <c r="F22" i="12"/>
  <c r="F21" i="12"/>
  <c r="E9" i="12" s="1"/>
  <c r="F9" i="12" s="1"/>
  <c r="F24" i="12" s="1"/>
  <c r="F25" i="12" s="1"/>
  <c r="F26" i="12" s="1"/>
  <c r="G9" i="12"/>
  <c r="F83" i="11"/>
  <c r="F82" i="11"/>
  <c r="F81" i="11"/>
  <c r="F80" i="11"/>
  <c r="F79" i="11"/>
  <c r="F78" i="11"/>
  <c r="F77" i="11"/>
  <c r="B70" i="11"/>
  <c r="E56" i="11"/>
  <c r="F54" i="11"/>
  <c r="F53" i="11"/>
  <c r="F52" i="11"/>
  <c r="F51" i="11"/>
  <c r="F50" i="11"/>
  <c r="F49" i="11"/>
  <c r="F48" i="11"/>
  <c r="F46" i="11"/>
  <c r="F45" i="11"/>
  <c r="B41" i="11"/>
  <c r="G63" i="11"/>
  <c r="G123" i="11" s="1"/>
  <c r="G9" i="11"/>
  <c r="F83" i="10"/>
  <c r="F82" i="10"/>
  <c r="F81" i="10"/>
  <c r="F80" i="10"/>
  <c r="F79" i="10"/>
  <c r="F78" i="10"/>
  <c r="F77" i="10"/>
  <c r="B70" i="10"/>
  <c r="E56" i="10"/>
  <c r="F54" i="10"/>
  <c r="F53" i="10"/>
  <c r="F52" i="10"/>
  <c r="F51" i="10"/>
  <c r="F50" i="10"/>
  <c r="F49" i="10"/>
  <c r="B41" i="10"/>
  <c r="G63" i="10"/>
  <c r="G123" i="10"/>
  <c r="E27" i="10"/>
  <c r="E25" i="10"/>
  <c r="G9" i="10"/>
  <c r="F83" i="9"/>
  <c r="F82" i="9"/>
  <c r="F81" i="9"/>
  <c r="F80" i="9"/>
  <c r="F79" i="9"/>
  <c r="F78" i="9"/>
  <c r="F77" i="9"/>
  <c r="F76" i="9"/>
  <c r="B70" i="9"/>
  <c r="E56" i="9"/>
  <c r="F54" i="9"/>
  <c r="F53" i="9"/>
  <c r="F52" i="9"/>
  <c r="F51" i="9"/>
  <c r="F50" i="9"/>
  <c r="F49" i="9"/>
  <c r="F48" i="9"/>
  <c r="F55" i="9" s="1"/>
  <c r="F47" i="9"/>
  <c r="F46" i="9"/>
  <c r="F45" i="9"/>
  <c r="B41" i="9"/>
  <c r="E27" i="9"/>
  <c r="E25" i="9"/>
  <c r="F23" i="9"/>
  <c r="F22" i="9"/>
  <c r="F21" i="9"/>
  <c r="F20" i="9"/>
  <c r="E9" i="9" s="1"/>
  <c r="F9" i="9" s="1"/>
  <c r="F24" i="9" s="1"/>
  <c r="F25" i="9" s="1"/>
  <c r="F26" i="9" s="1"/>
  <c r="F19" i="9"/>
  <c r="G9" i="9"/>
  <c r="F83" i="8"/>
  <c r="F82" i="8"/>
  <c r="F81" i="8"/>
  <c r="F80" i="8"/>
  <c r="F79" i="8"/>
  <c r="F78" i="8"/>
  <c r="F77" i="8"/>
  <c r="F76" i="8"/>
  <c r="F75" i="8"/>
  <c r="B70" i="8"/>
  <c r="E56" i="8"/>
  <c r="F54" i="8"/>
  <c r="F53" i="8"/>
  <c r="F52" i="8"/>
  <c r="F51" i="8"/>
  <c r="F50" i="8"/>
  <c r="F45" i="8"/>
  <c r="B41" i="8"/>
  <c r="G63" i="8"/>
  <c r="G123" i="8" s="1"/>
  <c r="E27" i="8"/>
  <c r="E25" i="8"/>
  <c r="F23" i="8"/>
  <c r="F22" i="8"/>
  <c r="F17" i="8"/>
  <c r="F16" i="8"/>
  <c r="F15" i="8"/>
  <c r="F14" i="8"/>
  <c r="F13" i="8"/>
  <c r="F12" i="8"/>
  <c r="F11" i="8"/>
  <c r="F10" i="8"/>
  <c r="G9" i="8"/>
  <c r="F83" i="7"/>
  <c r="F82" i="7"/>
  <c r="F81" i="7"/>
  <c r="F80" i="7"/>
  <c r="F79" i="7"/>
  <c r="F78" i="7"/>
  <c r="F77" i="7"/>
  <c r="F76" i="7"/>
  <c r="F75" i="7"/>
  <c r="E74" i="7" s="1"/>
  <c r="B70" i="7"/>
  <c r="E56" i="7"/>
  <c r="F54" i="7"/>
  <c r="F53" i="7"/>
  <c r="F52" i="7"/>
  <c r="F51" i="7"/>
  <c r="F50" i="7"/>
  <c r="F49" i="7"/>
  <c r="F48" i="7"/>
  <c r="F47" i="7"/>
  <c r="F46" i="7"/>
  <c r="B41" i="7"/>
  <c r="G63" i="7"/>
  <c r="G123" i="7" s="1"/>
  <c r="E27" i="7"/>
  <c r="E25" i="7"/>
  <c r="F23" i="7"/>
  <c r="F22" i="7"/>
  <c r="F21" i="7"/>
  <c r="F20" i="7"/>
  <c r="F19" i="7"/>
  <c r="F18" i="7"/>
  <c r="F17" i="7"/>
  <c r="F16" i="7"/>
  <c r="F15" i="7"/>
  <c r="F14" i="7"/>
  <c r="F13" i="7"/>
  <c r="F12" i="7"/>
  <c r="F11" i="7"/>
  <c r="G9" i="7"/>
  <c r="B70" i="1"/>
  <c r="G63" i="1"/>
  <c r="G123" i="1" s="1"/>
  <c r="G94" i="1"/>
  <c r="F55" i="14"/>
  <c r="F56" i="14" s="1"/>
  <c r="G94" i="13"/>
  <c r="G94" i="12"/>
  <c r="G94" i="11"/>
  <c r="G94" i="10"/>
  <c r="G94" i="9"/>
  <c r="G94" i="8"/>
  <c r="G94" i="7"/>
  <c r="G9" i="1"/>
  <c r="E56" i="1"/>
  <c r="E27" i="1"/>
  <c r="E25" i="1"/>
  <c r="F10" i="1"/>
  <c r="F11" i="1"/>
  <c r="F12" i="1"/>
  <c r="F18" i="1"/>
  <c r="F19" i="1"/>
  <c r="F20" i="1"/>
  <c r="F21" i="1"/>
  <c r="F22" i="1"/>
  <c r="F75" i="1"/>
  <c r="F76" i="1"/>
  <c r="F77" i="1"/>
  <c r="F78" i="1"/>
  <c r="F79" i="1"/>
  <c r="F80" i="1"/>
  <c r="F81" i="1"/>
  <c r="F82" i="1"/>
  <c r="F83" i="1"/>
  <c r="F46" i="1"/>
  <c r="F47" i="1"/>
  <c r="F48" i="1"/>
  <c r="F49" i="1"/>
  <c r="F50" i="1"/>
  <c r="F51" i="1"/>
  <c r="F52" i="1"/>
  <c r="F53" i="1"/>
  <c r="F54" i="1"/>
  <c r="F45" i="1"/>
  <c r="B41" i="1"/>
  <c r="F23" i="1"/>
  <c r="F74" i="28"/>
  <c r="F84" i="28" s="1"/>
  <c r="F85" i="28" s="1"/>
  <c r="F86" i="28" s="1"/>
  <c r="F87" i="28" s="1"/>
  <c r="F88" i="28" s="1"/>
  <c r="F74" i="32"/>
  <c r="F84" i="32" s="1"/>
  <c r="F85" i="32" s="1"/>
  <c r="F86" i="32" s="1"/>
  <c r="F74" i="25"/>
  <c r="F84" i="25" s="1"/>
  <c r="F85" i="25" s="1"/>
  <c r="F86" i="25" s="1"/>
  <c r="F74" i="31"/>
  <c r="F84" i="31"/>
  <c r="F85" i="31" s="1"/>
  <c r="F86" i="31" s="1"/>
  <c r="F74" i="14"/>
  <c r="F84" i="14" s="1"/>
  <c r="F85" i="14" s="1"/>
  <c r="F86" i="14" s="1"/>
  <c r="F74" i="27"/>
  <c r="F84" i="27" s="1"/>
  <c r="F85" i="27" s="1"/>
  <c r="F86" i="27" s="1"/>
  <c r="F74" i="29"/>
  <c r="F84" i="29" s="1"/>
  <c r="F85" i="29" s="1"/>
  <c r="F86" i="29" s="1"/>
  <c r="F74" i="7"/>
  <c r="F84" i="7"/>
  <c r="F85" i="7" s="1"/>
  <c r="F86" i="7" s="1"/>
  <c r="F74" i="19"/>
  <c r="F84" i="19"/>
  <c r="F85" i="19" s="1"/>
  <c r="F86" i="19" s="1"/>
  <c r="F87" i="14" l="1"/>
  <c r="F88" i="14" s="1"/>
  <c r="F87" i="30"/>
  <c r="F88" i="30" s="1"/>
  <c r="F88" i="7"/>
  <c r="F87" i="7"/>
  <c r="F87" i="31"/>
  <c r="F88" i="31"/>
  <c r="F87" i="32"/>
  <c r="F88" i="32" s="1"/>
  <c r="F93" i="28"/>
  <c r="F92" i="28"/>
  <c r="F94" i="28"/>
  <c r="F90" i="28"/>
  <c r="F91" i="28"/>
  <c r="F87" i="19"/>
  <c r="F88" i="19"/>
  <c r="F87" i="27"/>
  <c r="F88" i="27" s="1"/>
  <c r="F87" i="25"/>
  <c r="F88" i="25"/>
  <c r="F116" i="10"/>
  <c r="F117" i="10" s="1"/>
  <c r="F56" i="9"/>
  <c r="F57" i="9"/>
  <c r="F116" i="9"/>
  <c r="F117" i="9" s="1"/>
  <c r="F33" i="20"/>
  <c r="F32" i="20"/>
  <c r="F31" i="20"/>
  <c r="F30" i="20"/>
  <c r="F34" i="20" s="1"/>
  <c r="F62" i="32"/>
  <c r="F59" i="32"/>
  <c r="F61" i="32"/>
  <c r="F60" i="32"/>
  <c r="F63" i="32"/>
  <c r="F28" i="19"/>
  <c r="F27" i="19"/>
  <c r="G94" i="20"/>
  <c r="G63" i="20"/>
  <c r="G123" i="20" s="1"/>
  <c r="F56" i="20"/>
  <c r="F57" i="20" s="1"/>
  <c r="F116" i="20"/>
  <c r="F117" i="20"/>
  <c r="D91" i="28"/>
  <c r="D91" i="26"/>
  <c r="D91" i="25"/>
  <c r="D91" i="31"/>
  <c r="D91" i="29"/>
  <c r="D91" i="27"/>
  <c r="D91" i="23"/>
  <c r="D91" i="21"/>
  <c r="D91" i="19"/>
  <c r="D91" i="32"/>
  <c r="D91" i="30"/>
  <c r="D91" i="18"/>
  <c r="D91" i="17"/>
  <c r="D91" i="24"/>
  <c r="D91" i="20"/>
  <c r="D91" i="22"/>
  <c r="D91" i="16"/>
  <c r="D91" i="14"/>
  <c r="D91" i="7"/>
  <c r="D91" i="10"/>
  <c r="D91" i="9"/>
  <c r="D91" i="15"/>
  <c r="D91" i="12"/>
  <c r="D91" i="1"/>
  <c r="D91" i="11"/>
  <c r="F30" i="31"/>
  <c r="F33" i="31"/>
  <c r="F34" i="31" s="1"/>
  <c r="F31" i="31"/>
  <c r="D223" i="41" s="1"/>
  <c r="F27" i="27"/>
  <c r="F28" i="27"/>
  <c r="F56" i="19"/>
  <c r="F57" i="19" s="1"/>
  <c r="F122" i="18"/>
  <c r="F120" i="18"/>
  <c r="F123" i="18" s="1"/>
  <c r="F119" i="18"/>
  <c r="F117" i="11"/>
  <c r="F116" i="14"/>
  <c r="F117" i="14" s="1"/>
  <c r="E202" i="41"/>
  <c r="E204" i="41" s="1"/>
  <c r="AL204" i="41" s="1"/>
  <c r="D42" i="6"/>
  <c r="F27" i="30"/>
  <c r="F28" i="30" s="1"/>
  <c r="E9" i="7"/>
  <c r="F9" i="7" s="1"/>
  <c r="F24" i="7" s="1"/>
  <c r="F25" i="7" s="1"/>
  <c r="F26" i="7" s="1"/>
  <c r="G63" i="14"/>
  <c r="G123" i="14" s="1"/>
  <c r="G94" i="14"/>
  <c r="F119" i="7"/>
  <c r="F122" i="7"/>
  <c r="F121" i="7"/>
  <c r="D58" i="32"/>
  <c r="D58" i="30"/>
  <c r="D58" i="28"/>
  <c r="D58" i="26"/>
  <c r="D58" i="25"/>
  <c r="D58" i="31"/>
  <c r="D58" i="29"/>
  <c r="D58" i="24"/>
  <c r="D58" i="21"/>
  <c r="D58" i="19"/>
  <c r="D58" i="17"/>
  <c r="D58" i="15"/>
  <c r="D58" i="18"/>
  <c r="D58" i="27"/>
  <c r="D58" i="23"/>
  <c r="D58" i="22"/>
  <c r="D58" i="12"/>
  <c r="D58" i="7"/>
  <c r="D58" i="11"/>
  <c r="D58" i="16"/>
  <c r="D58" i="14"/>
  <c r="D58" i="1"/>
  <c r="D58" i="10"/>
  <c r="D58" i="8"/>
  <c r="D62" i="27"/>
  <c r="D62" i="24"/>
  <c r="D62" i="32"/>
  <c r="D62" i="30"/>
  <c r="D62" i="28"/>
  <c r="D62" i="26"/>
  <c r="D62" i="25"/>
  <c r="D62" i="23"/>
  <c r="D62" i="22"/>
  <c r="D62" i="20"/>
  <c r="D62" i="16"/>
  <c r="D62" i="31"/>
  <c r="D62" i="29"/>
  <c r="D62" i="21"/>
  <c r="D62" i="19"/>
  <c r="D62" i="15"/>
  <c r="D62" i="18"/>
  <c r="D62" i="12"/>
  <c r="D62" i="14"/>
  <c r="D62" i="10"/>
  <c r="D62" i="13"/>
  <c r="D62" i="7"/>
  <c r="D62" i="1"/>
  <c r="D62" i="8"/>
  <c r="D62" i="9"/>
  <c r="D62" i="11"/>
  <c r="D120" i="28"/>
  <c r="D120" i="31"/>
  <c r="D120" i="29"/>
  <c r="D120" i="26"/>
  <c r="D120" i="25"/>
  <c r="D120" i="24"/>
  <c r="D120" i="23"/>
  <c r="D120" i="27"/>
  <c r="D120" i="30"/>
  <c r="D120" i="22"/>
  <c r="D120" i="21"/>
  <c r="D120" i="19"/>
  <c r="D120" i="15"/>
  <c r="D120" i="32"/>
  <c r="D120" i="18"/>
  <c r="D120" i="20"/>
  <c r="D120" i="13"/>
  <c r="D120" i="11"/>
  <c r="D120" i="17"/>
  <c r="D120" i="7"/>
  <c r="D120" i="8"/>
  <c r="D120" i="16"/>
  <c r="D120" i="12"/>
  <c r="D120" i="10"/>
  <c r="D120" i="1"/>
  <c r="F61" i="23"/>
  <c r="F62" i="23"/>
  <c r="F59" i="23"/>
  <c r="F63" i="23" s="1"/>
  <c r="F119" i="27"/>
  <c r="F122" i="27"/>
  <c r="F120" i="27"/>
  <c r="F123" i="27" s="1"/>
  <c r="F28" i="28"/>
  <c r="F27" i="18"/>
  <c r="F28" i="18" s="1"/>
  <c r="E74" i="9"/>
  <c r="F74" i="9" s="1"/>
  <c r="F84" i="9" s="1"/>
  <c r="F85" i="9" s="1"/>
  <c r="F86" i="9" s="1"/>
  <c r="D59" i="26"/>
  <c r="D59" i="25"/>
  <c r="D59" i="31"/>
  <c r="D59" i="29"/>
  <c r="D59" i="27"/>
  <c r="D59" i="24"/>
  <c r="D59" i="21"/>
  <c r="D59" i="19"/>
  <c r="D59" i="17"/>
  <c r="D59" i="15"/>
  <c r="D59" i="32"/>
  <c r="D59" i="30"/>
  <c r="D59" i="18"/>
  <c r="D59" i="23"/>
  <c r="D59" i="22"/>
  <c r="D59" i="20"/>
  <c r="D59" i="28"/>
  <c r="D89" i="31"/>
  <c r="D89" i="29"/>
  <c r="D89" i="27"/>
  <c r="D89" i="23"/>
  <c r="D89" i="32"/>
  <c r="D89" i="30"/>
  <c r="D89" i="24"/>
  <c r="D89" i="18"/>
  <c r="D89" i="17"/>
  <c r="D89" i="28"/>
  <c r="D89" i="25"/>
  <c r="D89" i="20"/>
  <c r="D89" i="22"/>
  <c r="D89" i="26"/>
  <c r="D89" i="21"/>
  <c r="D93" i="28"/>
  <c r="D93" i="26"/>
  <c r="D93" i="25"/>
  <c r="D93" i="31"/>
  <c r="D93" i="29"/>
  <c r="D93" i="27"/>
  <c r="D93" i="23"/>
  <c r="D93" i="21"/>
  <c r="D93" i="19"/>
  <c r="D93" i="18"/>
  <c r="D93" i="17"/>
  <c r="D93" i="32"/>
  <c r="D93" i="30"/>
  <c r="D93" i="20"/>
  <c r="D93" i="24"/>
  <c r="D93" i="22"/>
  <c r="D118" i="31"/>
  <c r="D118" i="29"/>
  <c r="D118" i="26"/>
  <c r="D118" i="25"/>
  <c r="D118" i="24"/>
  <c r="D118" i="23"/>
  <c r="D118" i="27"/>
  <c r="D118" i="32"/>
  <c r="D118" i="30"/>
  <c r="D118" i="18"/>
  <c r="D118" i="28"/>
  <c r="D118" i="20"/>
  <c r="D118" i="16"/>
  <c r="D118" i="17"/>
  <c r="D118" i="22"/>
  <c r="D118" i="21"/>
  <c r="D122" i="28"/>
  <c r="D122" i="31"/>
  <c r="D122" i="29"/>
  <c r="D122" i="26"/>
  <c r="D122" i="25"/>
  <c r="D122" i="24"/>
  <c r="D122" i="23"/>
  <c r="D122" i="27"/>
  <c r="D122" i="22"/>
  <c r="D122" i="21"/>
  <c r="D122" i="19"/>
  <c r="D122" i="15"/>
  <c r="D122" i="30"/>
  <c r="D122" i="18"/>
  <c r="D122" i="32"/>
  <c r="D122" i="20"/>
  <c r="F55" i="15"/>
  <c r="D119" i="15"/>
  <c r="D89" i="16"/>
  <c r="D92" i="17"/>
  <c r="D122" i="17"/>
  <c r="F55" i="18"/>
  <c r="D119" i="18"/>
  <c r="D89" i="19"/>
  <c r="F115" i="19"/>
  <c r="D60" i="27"/>
  <c r="D60" i="24"/>
  <c r="D60" i="32"/>
  <c r="D60" i="30"/>
  <c r="D60" i="28"/>
  <c r="D60" i="26"/>
  <c r="D60" i="25"/>
  <c r="D60" i="31"/>
  <c r="D60" i="29"/>
  <c r="D60" i="23"/>
  <c r="D60" i="22"/>
  <c r="D60" i="20"/>
  <c r="D60" i="16"/>
  <c r="D60" i="21"/>
  <c r="D60" i="19"/>
  <c r="D90" i="12"/>
  <c r="F123" i="23"/>
  <c r="F61" i="25"/>
  <c r="F60" i="25"/>
  <c r="F63" i="25" s="1"/>
  <c r="F120" i="30"/>
  <c r="F123" i="30" s="1"/>
  <c r="F122" i="30"/>
  <c r="F121" i="30"/>
  <c r="D93" i="16"/>
  <c r="D60" i="18"/>
  <c r="F27" i="11"/>
  <c r="F28" i="11" s="1"/>
  <c r="F55" i="1"/>
  <c r="F55" i="10"/>
  <c r="F56" i="10" s="1"/>
  <c r="F57" i="10" s="1"/>
  <c r="E74" i="12"/>
  <c r="F74" i="12" s="1"/>
  <c r="F84" i="12" s="1"/>
  <c r="F85" i="12" s="1"/>
  <c r="F86" i="12" s="1"/>
  <c r="D61" i="26"/>
  <c r="D61" i="25"/>
  <c r="D61" i="31"/>
  <c r="D61" i="29"/>
  <c r="D61" i="27"/>
  <c r="D61" i="24"/>
  <c r="D61" i="28"/>
  <c r="D61" i="21"/>
  <c r="D61" i="19"/>
  <c r="D61" i="17"/>
  <c r="D61" i="15"/>
  <c r="D61" i="18"/>
  <c r="D61" i="32"/>
  <c r="D61" i="30"/>
  <c r="D61" i="23"/>
  <c r="D61" i="22"/>
  <c r="D61" i="20"/>
  <c r="D90" i="32"/>
  <c r="D90" i="30"/>
  <c r="D90" i="24"/>
  <c r="D90" i="28"/>
  <c r="D90" i="26"/>
  <c r="D90" i="25"/>
  <c r="D90" i="20"/>
  <c r="D90" i="27"/>
  <c r="D90" i="23"/>
  <c r="D90" i="22"/>
  <c r="D90" i="16"/>
  <c r="D90" i="15"/>
  <c r="D90" i="31"/>
  <c r="D90" i="29"/>
  <c r="D90" i="21"/>
  <c r="D90" i="19"/>
  <c r="D92" i="32"/>
  <c r="D92" i="30"/>
  <c r="D92" i="24"/>
  <c r="D92" i="28"/>
  <c r="D92" i="26"/>
  <c r="D92" i="25"/>
  <c r="D92" i="20"/>
  <c r="D92" i="22"/>
  <c r="D92" i="16"/>
  <c r="D92" i="15"/>
  <c r="D92" i="27"/>
  <c r="D92" i="23"/>
  <c r="D92" i="21"/>
  <c r="D92" i="19"/>
  <c r="D92" i="31"/>
  <c r="D92" i="29"/>
  <c r="D119" i="27"/>
  <c r="D119" i="32"/>
  <c r="D119" i="30"/>
  <c r="D119" i="28"/>
  <c r="D119" i="26"/>
  <c r="D119" i="24"/>
  <c r="D119" i="23"/>
  <c r="D119" i="20"/>
  <c r="D119" i="16"/>
  <c r="D119" i="31"/>
  <c r="D119" i="29"/>
  <c r="D119" i="17"/>
  <c r="D119" i="25"/>
  <c r="D119" i="22"/>
  <c r="D119" i="21"/>
  <c r="D119" i="19"/>
  <c r="D121" i="27"/>
  <c r="D121" i="32"/>
  <c r="D121" i="30"/>
  <c r="D121" i="28"/>
  <c r="D121" i="20"/>
  <c r="D121" i="16"/>
  <c r="D121" i="26"/>
  <c r="D121" i="24"/>
  <c r="D121" i="23"/>
  <c r="D121" i="17"/>
  <c r="D121" i="31"/>
  <c r="D121" i="29"/>
  <c r="D121" i="22"/>
  <c r="D121" i="21"/>
  <c r="D121" i="19"/>
  <c r="D121" i="25"/>
  <c r="F63" i="28"/>
  <c r="F33" i="29"/>
  <c r="F32" i="29"/>
  <c r="F34" i="29" s="1"/>
  <c r="F59" i="30"/>
  <c r="F63" i="30" s="1"/>
  <c r="F121" i="31"/>
  <c r="F120" i="31"/>
  <c r="F123" i="31" s="1"/>
  <c r="F122" i="31"/>
  <c r="D89" i="15"/>
  <c r="D59" i="16"/>
  <c r="D92" i="18"/>
  <c r="F116" i="28"/>
  <c r="F117" i="28"/>
  <c r="F116" i="29"/>
  <c r="F117" i="29"/>
  <c r="E74" i="20"/>
  <c r="F74" i="20" s="1"/>
  <c r="F84" i="20" s="1"/>
  <c r="F85" i="20" s="1"/>
  <c r="F86" i="20" s="1"/>
  <c r="E74" i="23"/>
  <c r="F74" i="23" s="1"/>
  <c r="F84" i="23" s="1"/>
  <c r="F85" i="23" s="1"/>
  <c r="F86" i="23" s="1"/>
  <c r="F115" i="32"/>
  <c r="E9" i="21"/>
  <c r="F9" i="21" s="1"/>
  <c r="F24" i="21" s="1"/>
  <c r="F25" i="21" s="1"/>
  <c r="F26" i="21" s="1"/>
  <c r="E74" i="18"/>
  <c r="F74" i="18" s="1"/>
  <c r="F84" i="18" s="1"/>
  <c r="F85" i="18" s="1"/>
  <c r="F86" i="18" s="1"/>
  <c r="F55" i="29"/>
  <c r="F55" i="31"/>
  <c r="D12" i="10"/>
  <c r="D13" i="10"/>
  <c r="S15" i="11"/>
  <c r="R15" i="10"/>
  <c r="S15" i="10" s="1"/>
  <c r="E75" i="11"/>
  <c r="F75" i="11" s="1"/>
  <c r="E74" i="11" s="1"/>
  <c r="F74" i="11" s="1"/>
  <c r="F84" i="11" s="1"/>
  <c r="F85" i="11" s="1"/>
  <c r="F86" i="11" s="1"/>
  <c r="M19" i="33"/>
  <c r="G19" i="33"/>
  <c r="E74" i="15"/>
  <c r="F74" i="15" s="1"/>
  <c r="F84" i="15" s="1"/>
  <c r="F85" i="15" s="1"/>
  <c r="F86" i="15" s="1"/>
  <c r="E74" i="21"/>
  <c r="F74" i="21" s="1"/>
  <c r="F84" i="21" s="1"/>
  <c r="F85" i="21" s="1"/>
  <c r="F86" i="21" s="1"/>
  <c r="E9" i="32"/>
  <c r="F9" i="32" s="1"/>
  <c r="F24" i="32" s="1"/>
  <c r="F25" i="32" s="1"/>
  <c r="F26" i="32" s="1"/>
  <c r="K250" i="41"/>
  <c r="E9" i="25"/>
  <c r="F9" i="25" s="1"/>
  <c r="F24" i="25" s="1"/>
  <c r="F25" i="25" s="1"/>
  <c r="F26" i="25" s="1"/>
  <c r="F55" i="26"/>
  <c r="F55" i="7"/>
  <c r="S12" i="11"/>
  <c r="K248" i="41"/>
  <c r="F115" i="25"/>
  <c r="E74" i="26"/>
  <c r="F74" i="26" s="1"/>
  <c r="F84" i="26" s="1"/>
  <c r="F85" i="26" s="1"/>
  <c r="F86" i="26" s="1"/>
  <c r="F115" i="26"/>
  <c r="K246" i="41"/>
  <c r="K280" i="41"/>
  <c r="K255" i="41"/>
  <c r="K283" i="41"/>
  <c r="K273" i="41"/>
  <c r="K275" i="41"/>
  <c r="K252" i="41"/>
  <c r="K132" i="41"/>
  <c r="K282" i="41"/>
  <c r="K271" i="41"/>
  <c r="K268" i="41"/>
  <c r="K272" i="41"/>
  <c r="K253" i="41"/>
  <c r="K254" i="41"/>
  <c r="K277" i="41"/>
  <c r="K247" i="41"/>
  <c r="AO255" i="41"/>
  <c r="AQ254" i="41"/>
  <c r="AR253" i="41"/>
  <c r="AR252" i="41"/>
  <c r="AR255" i="41"/>
  <c r="AP254" i="41"/>
  <c r="AQ253" i="41"/>
  <c r="AQ252" i="41"/>
  <c r="AR251" i="41"/>
  <c r="AP250" i="41"/>
  <c r="AQ255" i="41"/>
  <c r="AR249" i="41"/>
  <c r="AO248" i="41"/>
  <c r="AP247" i="41"/>
  <c r="AP255" i="41"/>
  <c r="AR254" i="41"/>
  <c r="AQ251" i="41"/>
  <c r="AR250" i="41"/>
  <c r="AQ249" i="41"/>
  <c r="AR248" i="41"/>
  <c r="AO247" i="41"/>
  <c r="AP246" i="41"/>
  <c r="AQ277" i="41"/>
  <c r="AQ276" i="41"/>
  <c r="AR275" i="41"/>
  <c r="AO274" i="41"/>
  <c r="AP273" i="41"/>
  <c r="AQ272" i="41"/>
  <c r="AP252" i="41"/>
  <c r="AO246" i="41"/>
  <c r="AO275" i="41"/>
  <c r="AO254" i="41"/>
  <c r="AP253" i="41"/>
  <c r="AP251" i="41"/>
  <c r="AQ250" i="41"/>
  <c r="AP249" i="41"/>
  <c r="AQ248" i="41"/>
  <c r="AR247" i="41"/>
  <c r="AR246" i="41"/>
  <c r="AP277" i="41"/>
  <c r="AP276" i="41"/>
  <c r="AQ275" i="41"/>
  <c r="AR274" i="41"/>
  <c r="AO252" i="41"/>
  <c r="AR276" i="41"/>
  <c r="AQ274" i="41"/>
  <c r="AO273" i="41"/>
  <c r="AO272" i="41"/>
  <c r="AP271" i="41"/>
  <c r="AQ270" i="41"/>
  <c r="AR269" i="41"/>
  <c r="AO268" i="41"/>
  <c r="AR273" i="41"/>
  <c r="AR272" i="41"/>
  <c r="AO253" i="41"/>
  <c r="AO250" i="41"/>
  <c r="AQ246" i="41"/>
  <c r="AO276" i="41"/>
  <c r="L276" i="41" s="1"/>
  <c r="AP274" i="41"/>
  <c r="AO271" i="41"/>
  <c r="AP270" i="41"/>
  <c r="AQ269" i="41"/>
  <c r="AR268" i="41"/>
  <c r="AR277" i="41"/>
  <c r="AO249" i="41"/>
  <c r="L249" i="41" s="1"/>
  <c r="AP275" i="41"/>
  <c r="AP272" i="41"/>
  <c r="AO269" i="41"/>
  <c r="AP268" i="41"/>
  <c r="AQ247" i="41"/>
  <c r="AR271" i="41"/>
  <c r="AO251" i="41"/>
  <c r="AP248" i="41"/>
  <c r="AO277" i="41"/>
  <c r="L277" i="41" s="1"/>
  <c r="AQ273" i="41"/>
  <c r="AQ271" i="41"/>
  <c r="AR270" i="41"/>
  <c r="AO270" i="41"/>
  <c r="L270" i="41" s="1"/>
  <c r="AP269" i="41"/>
  <c r="AQ268" i="41"/>
  <c r="AP280" i="41"/>
  <c r="AO280" i="41"/>
  <c r="AR281" i="41"/>
  <c r="AR282" i="41"/>
  <c r="AR283" i="41"/>
  <c r="AQ280" i="41"/>
  <c r="AO281" i="41"/>
  <c r="AO282" i="41"/>
  <c r="AO283" i="41"/>
  <c r="AR280" i="41"/>
  <c r="AP281" i="41"/>
  <c r="AP282" i="41"/>
  <c r="AP283" i="41"/>
  <c r="AQ283" i="41"/>
  <c r="AQ282" i="41"/>
  <c r="AQ281" i="41"/>
  <c r="AQ192" i="41"/>
  <c r="AQ184" i="41"/>
  <c r="AQ177" i="41"/>
  <c r="AQ109" i="41"/>
  <c r="AQ188" i="41"/>
  <c r="AQ132" i="41"/>
  <c r="AQ89" i="41"/>
  <c r="AQ193" i="41"/>
  <c r="AQ178" i="41"/>
  <c r="AQ88" i="41"/>
  <c r="AQ54" i="41"/>
  <c r="AQ183" i="41"/>
  <c r="AQ182" i="41"/>
  <c r="AQ55" i="41"/>
  <c r="AQ187" i="41"/>
  <c r="AQ131" i="41"/>
  <c r="AQ110" i="41"/>
  <c r="AO193" i="41"/>
  <c r="AR187" i="41"/>
  <c r="AP184" i="41"/>
  <c r="AR182" i="41"/>
  <c r="AP177" i="41"/>
  <c r="AP132" i="41"/>
  <c r="AP131" i="41"/>
  <c r="AP110" i="41"/>
  <c r="AR109" i="41"/>
  <c r="AO89" i="41"/>
  <c r="AO88" i="41"/>
  <c r="AR55" i="41"/>
  <c r="AO109" i="41"/>
  <c r="AO188" i="41"/>
  <c r="AO183" i="41"/>
  <c r="L183" i="41" s="1"/>
  <c r="AR131" i="41"/>
  <c r="AR110" i="41"/>
  <c r="AO54" i="41"/>
  <c r="AR192" i="41"/>
  <c r="AP187" i="41"/>
  <c r="AO184" i="41"/>
  <c r="AR183" i="41"/>
  <c r="AP182" i="41"/>
  <c r="AO177" i="41"/>
  <c r="L177" i="41" s="1"/>
  <c r="AO131" i="41"/>
  <c r="AO110" i="41"/>
  <c r="AP109" i="41"/>
  <c r="AP55" i="41"/>
  <c r="AR54" i="41"/>
  <c r="AR193" i="41"/>
  <c r="AP192" i="41"/>
  <c r="AO187" i="41"/>
  <c r="AP183" i="41"/>
  <c r="AO178" i="41"/>
  <c r="AR89" i="41"/>
  <c r="AR88" i="41"/>
  <c r="AO55" i="41"/>
  <c r="AP54" i="41"/>
  <c r="AP193" i="41"/>
  <c r="AR184" i="41"/>
  <c r="AR177" i="41"/>
  <c r="AR132" i="41"/>
  <c r="AP89" i="41"/>
  <c r="AP88" i="41"/>
  <c r="K281" i="41"/>
  <c r="K269" i="41"/>
  <c r="K270" i="41"/>
  <c r="K249" i="41"/>
  <c r="K276" i="41"/>
  <c r="K274" i="41"/>
  <c r="E9" i="14"/>
  <c r="F9" i="14" s="1"/>
  <c r="F24" i="14" s="1"/>
  <c r="F25" i="14" s="1"/>
  <c r="F26" i="14" s="1"/>
  <c r="F27" i="14" s="1"/>
  <c r="F28" i="14" s="1"/>
  <c r="F31" i="14" s="1"/>
  <c r="F56" i="26"/>
  <c r="F57" i="26" s="1"/>
  <c r="F87" i="26"/>
  <c r="F88" i="26" s="1"/>
  <c r="F116" i="26"/>
  <c r="F117" i="26" s="1"/>
  <c r="F116" i="25"/>
  <c r="F117" i="25" s="1"/>
  <c r="F27" i="25"/>
  <c r="F28" i="25" s="1"/>
  <c r="F27" i="26"/>
  <c r="F28" i="26" s="1"/>
  <c r="AE179" i="41"/>
  <c r="I179" i="41" s="1"/>
  <c r="CY179" i="41"/>
  <c r="CQ179" i="41"/>
  <c r="CI179" i="41"/>
  <c r="CA179" i="41"/>
  <c r="BS179" i="41"/>
  <c r="BK179" i="41"/>
  <c r="DC179" i="41"/>
  <c r="CU179" i="41"/>
  <c r="CM179" i="41"/>
  <c r="CE179" i="41"/>
  <c r="BW179" i="41"/>
  <c r="BO179" i="41"/>
  <c r="BG179" i="41"/>
  <c r="AY179" i="41"/>
  <c r="AQ179" i="41"/>
  <c r="L179" i="41" s="1"/>
  <c r="BC179" i="41"/>
  <c r="AU179" i="41"/>
  <c r="M179" i="41" s="1"/>
  <c r="F117" i="15"/>
  <c r="F87" i="15"/>
  <c r="F88" i="15"/>
  <c r="F27" i="15"/>
  <c r="F28" i="15" s="1"/>
  <c r="F87" i="17"/>
  <c r="F88" i="17" s="1"/>
  <c r="F117" i="17"/>
  <c r="F121" i="17" s="1"/>
  <c r="F57" i="17"/>
  <c r="F61" i="17" s="1"/>
  <c r="F27" i="17"/>
  <c r="F28" i="17" s="1"/>
  <c r="F120" i="24"/>
  <c r="F122" i="24"/>
  <c r="F119" i="24"/>
  <c r="F123" i="24"/>
  <c r="F121" i="24"/>
  <c r="F87" i="24"/>
  <c r="F88" i="24" s="1"/>
  <c r="F62" i="24"/>
  <c r="F63" i="24"/>
  <c r="F27" i="24"/>
  <c r="F28" i="24" s="1"/>
  <c r="F27" i="23"/>
  <c r="F28" i="23" s="1"/>
  <c r="F27" i="21"/>
  <c r="F28" i="21" s="1"/>
  <c r="F57" i="21"/>
  <c r="F115" i="21"/>
  <c r="F116" i="21" s="1"/>
  <c r="F117" i="21" s="1"/>
  <c r="F121" i="21" s="1"/>
  <c r="F87" i="21"/>
  <c r="F88" i="21"/>
  <c r="F47" i="22"/>
  <c r="F55" i="22" s="1"/>
  <c r="F56" i="22" s="1"/>
  <c r="F57" i="22" s="1"/>
  <c r="F55" i="8"/>
  <c r="E74" i="8"/>
  <c r="F74" i="8" s="1"/>
  <c r="F84" i="8" s="1"/>
  <c r="F85" i="8" s="1"/>
  <c r="F86" i="8" s="1"/>
  <c r="F87" i="8" s="1"/>
  <c r="E74" i="22"/>
  <c r="F74" i="22" s="1"/>
  <c r="F84" i="22" s="1"/>
  <c r="F85" i="22" s="1"/>
  <c r="F86" i="22" s="1"/>
  <c r="F115" i="8"/>
  <c r="F116" i="8" s="1"/>
  <c r="F117" i="8" s="1"/>
  <c r="F115" i="22"/>
  <c r="F15" i="22"/>
  <c r="F12" i="22"/>
  <c r="F11" i="22"/>
  <c r="E9" i="8"/>
  <c r="F9" i="8" s="1"/>
  <c r="F24" i="8" s="1"/>
  <c r="F25" i="8" s="1"/>
  <c r="F26" i="8" s="1"/>
  <c r="F27" i="8" s="1"/>
  <c r="F28" i="8" s="1"/>
  <c r="F27" i="7"/>
  <c r="F28" i="7"/>
  <c r="F87" i="9"/>
  <c r="F88" i="9" s="1"/>
  <c r="F27" i="9"/>
  <c r="F28" i="9" s="1"/>
  <c r="F87" i="29"/>
  <c r="F88" i="29" s="1"/>
  <c r="F56" i="7"/>
  <c r="F57" i="7" s="1"/>
  <c r="F57" i="14"/>
  <c r="F55" i="11"/>
  <c r="F56" i="11" s="1"/>
  <c r="F87" i="13"/>
  <c r="F88" i="13" s="1"/>
  <c r="F27" i="13"/>
  <c r="F28" i="13" s="1"/>
  <c r="AK120" i="41"/>
  <c r="F87" i="12"/>
  <c r="F88" i="12" s="1"/>
  <c r="F27" i="12"/>
  <c r="F28" i="12" s="1"/>
  <c r="AN120" i="41"/>
  <c r="AL120" i="41"/>
  <c r="AM120" i="41"/>
  <c r="C10" i="37"/>
  <c r="C11" i="37" s="1"/>
  <c r="C14" i="37" s="1"/>
  <c r="C16" i="37" s="1"/>
  <c r="C19" i="37" s="1"/>
  <c r="C60" i="6" s="1"/>
  <c r="AL290" i="41"/>
  <c r="AM290" i="41"/>
  <c r="AN290" i="41"/>
  <c r="AK290" i="41"/>
  <c r="K263" i="41"/>
  <c r="K266" i="41"/>
  <c r="K265" i="41"/>
  <c r="K264" i="41"/>
  <c r="K242" i="41"/>
  <c r="K245" i="41"/>
  <c r="AP262" i="41"/>
  <c r="AP263" i="41"/>
  <c r="AP264" i="41"/>
  <c r="AP265" i="41"/>
  <c r="AP266" i="41"/>
  <c r="AQ262" i="41"/>
  <c r="AR262" i="41"/>
  <c r="AR263" i="41"/>
  <c r="AQ264" i="41"/>
  <c r="AO265" i="41"/>
  <c r="AQ267" i="41"/>
  <c r="AO262" i="41"/>
  <c r="AR264" i="41"/>
  <c r="AQ265" i="41"/>
  <c r="AO266" i="41"/>
  <c r="AR267" i="41"/>
  <c r="AO263" i="41"/>
  <c r="AR265" i="41"/>
  <c r="AQ266" i="41"/>
  <c r="AO267" i="41"/>
  <c r="AO264" i="41"/>
  <c r="AP242" i="41"/>
  <c r="AR266" i="41"/>
  <c r="AQ242" i="41"/>
  <c r="AQ263" i="41"/>
  <c r="AP267" i="41"/>
  <c r="AR242" i="41"/>
  <c r="AO243" i="41"/>
  <c r="AP244" i="41"/>
  <c r="AQ243" i="41"/>
  <c r="AQ244" i="41"/>
  <c r="AP245" i="41"/>
  <c r="AO242" i="41"/>
  <c r="AP243" i="41"/>
  <c r="AR243" i="41"/>
  <c r="AR244" i="41"/>
  <c r="AQ245" i="41"/>
  <c r="AR245" i="41"/>
  <c r="AO244" i="41"/>
  <c r="AO245" i="41"/>
  <c r="K244" i="41"/>
  <c r="K243" i="41"/>
  <c r="K267" i="41"/>
  <c r="K262" i="41"/>
  <c r="M285" i="41"/>
  <c r="M287" i="41"/>
  <c r="M289" i="41"/>
  <c r="M284" i="41"/>
  <c r="M286" i="41"/>
  <c r="M288" i="41"/>
  <c r="K261" i="41"/>
  <c r="K260" i="41"/>
  <c r="K259" i="41"/>
  <c r="AQ258" i="41"/>
  <c r="AO259" i="41"/>
  <c r="AQ260" i="41"/>
  <c r="AR258" i="41"/>
  <c r="AP259" i="41"/>
  <c r="AR260" i="41"/>
  <c r="AP261" i="41"/>
  <c r="AO258" i="41"/>
  <c r="AQ259" i="41"/>
  <c r="AO260" i="41"/>
  <c r="AP258" i="41"/>
  <c r="AR259" i="41"/>
  <c r="AP260" i="41"/>
  <c r="AR261" i="41"/>
  <c r="AO261" i="41"/>
  <c r="AQ261" i="41"/>
  <c r="K258" i="41"/>
  <c r="M218" i="41"/>
  <c r="K241" i="41"/>
  <c r="K239" i="41"/>
  <c r="K240" i="41"/>
  <c r="K237" i="41"/>
  <c r="AR236" i="41"/>
  <c r="AP237" i="41"/>
  <c r="AR238" i="41"/>
  <c r="AP239" i="41"/>
  <c r="AP236" i="41"/>
  <c r="AR237" i="41"/>
  <c r="AP238" i="41"/>
  <c r="AR239" i="41"/>
  <c r="AQ237" i="41"/>
  <c r="AO238" i="41"/>
  <c r="AQ240" i="41"/>
  <c r="AO241" i="41"/>
  <c r="AQ238" i="41"/>
  <c r="AO239" i="41"/>
  <c r="AR240" i="41"/>
  <c r="AO236" i="41"/>
  <c r="AQ239" i="41"/>
  <c r="AO240" i="41"/>
  <c r="AQ241" i="41"/>
  <c r="AP240" i="41"/>
  <c r="AQ236" i="41"/>
  <c r="AP241" i="41"/>
  <c r="AR241" i="41"/>
  <c r="AO237" i="41"/>
  <c r="K238" i="41"/>
  <c r="K236" i="41"/>
  <c r="M146" i="41"/>
  <c r="M147" i="41"/>
  <c r="M225" i="41"/>
  <c r="M141" i="41"/>
  <c r="M148" i="41"/>
  <c r="M229" i="41"/>
  <c r="M230" i="41"/>
  <c r="M228" i="41"/>
  <c r="M157" i="41"/>
  <c r="M158" i="41"/>
  <c r="M152" i="41"/>
  <c r="M220" i="41"/>
  <c r="M156" i="41"/>
  <c r="M189" i="41"/>
  <c r="M224" i="41"/>
  <c r="M143" i="41"/>
  <c r="M131" i="41"/>
  <c r="M142" i="41"/>
  <c r="N8" i="41"/>
  <c r="M194" i="41"/>
  <c r="M219" i="41"/>
  <c r="M153" i="41"/>
  <c r="M132" i="41"/>
  <c r="M151" i="41"/>
  <c r="M133" i="41"/>
  <c r="F62" i="10"/>
  <c r="F60" i="10"/>
  <c r="F59" i="10"/>
  <c r="F61" i="10"/>
  <c r="F87" i="11"/>
  <c r="F88" i="11"/>
  <c r="F57" i="11"/>
  <c r="AQ214" i="41"/>
  <c r="AQ208" i="41"/>
  <c r="AQ198" i="41"/>
  <c r="AQ168" i="41"/>
  <c r="AQ138" i="41"/>
  <c r="AQ96" i="41"/>
  <c r="AQ213" i="41"/>
  <c r="AQ204" i="41"/>
  <c r="AQ167" i="41"/>
  <c r="AQ137" i="41"/>
  <c r="AQ215" i="41"/>
  <c r="AQ199" i="41"/>
  <c r="AQ162" i="41"/>
  <c r="AQ93" i="41"/>
  <c r="AQ75" i="41"/>
  <c r="AQ51" i="41"/>
  <c r="AQ38" i="41"/>
  <c r="AQ20" i="41"/>
  <c r="AQ209" i="41"/>
  <c r="AQ172" i="41"/>
  <c r="AQ126" i="41"/>
  <c r="AQ105" i="41"/>
  <c r="AQ97" i="41"/>
  <c r="AQ91" i="41"/>
  <c r="AQ78" i="41"/>
  <c r="AQ73" i="41"/>
  <c r="AQ41" i="41"/>
  <c r="AQ36" i="41"/>
  <c r="AQ23" i="41"/>
  <c r="AQ18" i="41"/>
  <c r="AQ173" i="41"/>
  <c r="AQ19" i="41"/>
  <c r="AQ163" i="41"/>
  <c r="AQ106" i="41"/>
  <c r="AQ87" i="41"/>
  <c r="AQ50" i="41"/>
  <c r="AQ42" i="41"/>
  <c r="AQ210" i="41"/>
  <c r="AQ136" i="41"/>
  <c r="AQ127" i="41"/>
  <c r="AQ92" i="41"/>
  <c r="AQ69" i="41"/>
  <c r="AQ32" i="41"/>
  <c r="AQ24" i="41"/>
  <c r="AQ203" i="41"/>
  <c r="AQ74" i="41"/>
  <c r="AQ37" i="41"/>
  <c r="AQ14" i="41"/>
  <c r="AR97" i="41"/>
  <c r="AO24" i="41"/>
  <c r="AO97" i="41"/>
  <c r="AR24" i="41"/>
  <c r="AP97" i="41"/>
  <c r="AP24" i="41"/>
  <c r="AR215" i="41"/>
  <c r="AO214" i="41"/>
  <c r="AO213" i="41"/>
  <c r="AR214" i="41"/>
  <c r="AR213" i="41"/>
  <c r="AR209" i="41"/>
  <c r="AO215" i="41"/>
  <c r="AP214" i="41"/>
  <c r="AP213" i="41"/>
  <c r="AO210" i="41"/>
  <c r="AP209" i="41"/>
  <c r="AP210" i="41"/>
  <c r="AP208" i="41"/>
  <c r="AP205" i="41"/>
  <c r="AP203" i="41"/>
  <c r="AP200" i="41"/>
  <c r="AP198" i="41"/>
  <c r="AO174" i="41"/>
  <c r="AP215" i="41"/>
  <c r="AR210" i="41"/>
  <c r="AO209" i="41"/>
  <c r="AR208" i="41"/>
  <c r="AR205" i="41"/>
  <c r="AO204" i="41"/>
  <c r="AR203" i="41"/>
  <c r="AR200" i="41"/>
  <c r="AO199" i="41"/>
  <c r="AR198" i="41"/>
  <c r="AR172" i="41"/>
  <c r="AR169" i="41"/>
  <c r="AO168" i="41"/>
  <c r="AP167" i="41"/>
  <c r="AP164" i="41"/>
  <c r="AR162" i="41"/>
  <c r="AO208" i="41"/>
  <c r="AO203" i="41"/>
  <c r="AR174" i="41"/>
  <c r="AO173" i="41"/>
  <c r="AO167" i="41"/>
  <c r="AO163" i="41"/>
  <c r="AO138" i="41"/>
  <c r="AP137" i="41"/>
  <c r="AO205" i="41"/>
  <c r="AP174" i="41"/>
  <c r="AO164" i="41"/>
  <c r="AR138" i="41"/>
  <c r="AO137" i="41"/>
  <c r="AR128" i="41"/>
  <c r="AO127" i="41"/>
  <c r="AP126" i="41"/>
  <c r="AO200" i="41"/>
  <c r="AP172" i="41"/>
  <c r="AO169" i="41"/>
  <c r="AR164" i="41"/>
  <c r="AO162" i="41"/>
  <c r="AP138" i="41"/>
  <c r="AP128" i="41"/>
  <c r="AR126" i="41"/>
  <c r="AP106" i="41"/>
  <c r="AO105" i="41"/>
  <c r="AO96" i="41"/>
  <c r="AO93" i="41"/>
  <c r="AO198" i="41"/>
  <c r="AP169" i="41"/>
  <c r="AR137" i="41"/>
  <c r="AO128" i="41"/>
  <c r="AR106" i="41"/>
  <c r="AR105" i="41"/>
  <c r="AP93" i="41"/>
  <c r="AP162" i="41"/>
  <c r="AR136" i="41"/>
  <c r="AO126" i="41"/>
  <c r="AR167" i="41"/>
  <c r="AR96" i="41"/>
  <c r="AO92" i="41"/>
  <c r="AO91" i="41"/>
  <c r="AR87" i="41"/>
  <c r="AP136" i="41"/>
  <c r="AO106" i="41"/>
  <c r="AP105" i="41"/>
  <c r="AR92" i="41"/>
  <c r="AR91" i="41"/>
  <c r="AR93" i="41"/>
  <c r="AP92" i="41"/>
  <c r="AP91" i="41"/>
  <c r="AO87" i="41"/>
  <c r="AO78" i="41"/>
  <c r="AO75" i="41"/>
  <c r="AO74" i="41"/>
  <c r="AO73" i="41"/>
  <c r="AR69" i="41"/>
  <c r="AP50" i="41"/>
  <c r="AR75" i="41"/>
  <c r="AP73" i="41"/>
  <c r="AO69" i="41"/>
  <c r="AO51" i="41"/>
  <c r="AO50" i="41"/>
  <c r="AP96" i="41"/>
  <c r="AP75" i="41"/>
  <c r="AO42" i="41"/>
  <c r="AO41" i="41"/>
  <c r="AO38" i="41"/>
  <c r="AO37" i="41"/>
  <c r="AO36" i="41"/>
  <c r="AP87" i="41"/>
  <c r="AP78" i="41"/>
  <c r="AP74" i="41"/>
  <c r="AP69" i="41"/>
  <c r="AP51" i="41"/>
  <c r="AP42" i="41"/>
  <c r="AP41" i="41"/>
  <c r="AP38" i="41"/>
  <c r="AR73" i="41"/>
  <c r="AR23" i="41"/>
  <c r="AR74" i="41"/>
  <c r="AR36" i="41"/>
  <c r="AO32" i="41"/>
  <c r="AP23" i="41"/>
  <c r="AR20" i="41"/>
  <c r="AO18" i="41"/>
  <c r="AP20" i="41"/>
  <c r="AR78" i="41"/>
  <c r="AR41" i="41"/>
  <c r="AR37" i="41"/>
  <c r="AR32" i="41"/>
  <c r="AO20" i="41"/>
  <c r="AP19" i="41"/>
  <c r="AR18" i="41"/>
  <c r="AR51" i="41"/>
  <c r="AR42" i="41"/>
  <c r="AP37" i="41"/>
  <c r="AP32" i="41"/>
  <c r="AO19" i="41"/>
  <c r="AP18" i="41"/>
  <c r="AR50" i="41"/>
  <c r="AR38" i="41"/>
  <c r="AP36" i="41"/>
  <c r="AO23" i="41"/>
  <c r="AR19" i="41"/>
  <c r="I204" i="41"/>
  <c r="AP204" i="41"/>
  <c r="E74" i="16"/>
  <c r="F74" i="16" s="1"/>
  <c r="F84" i="16" s="1"/>
  <c r="F85" i="16" s="1"/>
  <c r="F86" i="16" s="1"/>
  <c r="F87" i="16" s="1"/>
  <c r="F88" i="16" s="1"/>
  <c r="E74" i="1"/>
  <c r="F74" i="1" s="1"/>
  <c r="F84" i="1" s="1"/>
  <c r="F85" i="1" s="1"/>
  <c r="F86" i="1" s="1"/>
  <c r="F87" i="1" s="1"/>
  <c r="F88" i="1" s="1"/>
  <c r="F11" i="16"/>
  <c r="F15" i="16"/>
  <c r="F16" i="16"/>
  <c r="F12" i="16"/>
  <c r="F21" i="16"/>
  <c r="E9" i="1"/>
  <c r="F9" i="1" s="1"/>
  <c r="F24" i="1" s="1"/>
  <c r="F25" i="1" s="1"/>
  <c r="F26" i="1" s="1"/>
  <c r="F27" i="1" s="1"/>
  <c r="F56" i="16"/>
  <c r="F57" i="16" s="1"/>
  <c r="F56" i="1"/>
  <c r="F57" i="1" s="1"/>
  <c r="F115" i="1"/>
  <c r="F116" i="1" s="1"/>
  <c r="F117" i="1" s="1"/>
  <c r="F115" i="16"/>
  <c r="F116" i="16" s="1"/>
  <c r="F117" i="16" s="1"/>
  <c r="J17" i="33"/>
  <c r="V13" i="33"/>
  <c r="AB61" i="44"/>
  <c r="AE61" i="44"/>
  <c r="AH61" i="44"/>
  <c r="Y61" i="44"/>
  <c r="P39" i="44"/>
  <c r="P59" i="44" s="1"/>
  <c r="S19" i="33"/>
  <c r="V19" i="33"/>
  <c r="G11" i="33"/>
  <c r="AB24" i="33"/>
  <c r="AH24" i="33"/>
  <c r="AE24" i="33"/>
  <c r="G21" i="33"/>
  <c r="E12" i="10"/>
  <c r="F12" i="10" s="1"/>
  <c r="J19" i="33"/>
  <c r="G17" i="33"/>
  <c r="D15" i="10"/>
  <c r="E11" i="10"/>
  <c r="F11" i="10" s="1"/>
  <c r="D10" i="10"/>
  <c r="E13" i="10"/>
  <c r="F13" i="10" s="1"/>
  <c r="E10" i="10"/>
  <c r="F10" i="10" s="1"/>
  <c r="Y12" i="33"/>
  <c r="AH12" i="33"/>
  <c r="AB12" i="33"/>
  <c r="G12" i="33"/>
  <c r="V12" i="33"/>
  <c r="J12" i="33"/>
  <c r="M12" i="33"/>
  <c r="P12" i="33"/>
  <c r="S12" i="33"/>
  <c r="E15" i="10"/>
  <c r="F15" i="10" s="1"/>
  <c r="Y24" i="33"/>
  <c r="J16" i="33"/>
  <c r="D14" i="10"/>
  <c r="D11" i="10"/>
  <c r="E14" i="10"/>
  <c r="F14" i="10" s="1"/>
  <c r="P20" i="33"/>
  <c r="M22" i="33"/>
  <c r="P14" i="33"/>
  <c r="AH21" i="33"/>
  <c r="AE21" i="33"/>
  <c r="AB21" i="33"/>
  <c r="Y21" i="33"/>
  <c r="AH19" i="33"/>
  <c r="AE19" i="33"/>
  <c r="AB19" i="33"/>
  <c r="Y19" i="33"/>
  <c r="AH15" i="33"/>
  <c r="AE15" i="33"/>
  <c r="AB15" i="33"/>
  <c r="Y15" i="33"/>
  <c r="AH11" i="33"/>
  <c r="AE11" i="33"/>
  <c r="AB11" i="33"/>
  <c r="Y11" i="33"/>
  <c r="F115" i="12"/>
  <c r="F116" i="12" s="1"/>
  <c r="F117" i="12" s="1"/>
  <c r="F115" i="13"/>
  <c r="F116" i="13" s="1"/>
  <c r="F117" i="13" s="1"/>
  <c r="F57" i="12"/>
  <c r="F56" i="13"/>
  <c r="F57" i="13" s="1"/>
  <c r="AG51" i="41"/>
  <c r="J70" i="41"/>
  <c r="BM70" i="41"/>
  <c r="AG106" i="41"/>
  <c r="J106" i="41" s="1"/>
  <c r="I209" i="41"/>
  <c r="K14" i="41"/>
  <c r="K24" i="41"/>
  <c r="K20" i="41"/>
  <c r="K26" i="41"/>
  <c r="K37" i="41"/>
  <c r="K79" i="41"/>
  <c r="K162" i="41"/>
  <c r="K22" i="41"/>
  <c r="K81" i="41"/>
  <c r="K42" i="41"/>
  <c r="K97" i="41"/>
  <c r="K117" i="41"/>
  <c r="K205" i="41"/>
  <c r="K111" i="41"/>
  <c r="K62" i="41"/>
  <c r="K78" i="41"/>
  <c r="K99" i="41"/>
  <c r="K118" i="41"/>
  <c r="K87" i="41"/>
  <c r="K58" i="41"/>
  <c r="K105" i="41"/>
  <c r="K77" i="41"/>
  <c r="K91" i="41"/>
  <c r="K136" i="41"/>
  <c r="K88" i="41"/>
  <c r="K106" i="41"/>
  <c r="K198" i="41"/>
  <c r="K28" i="41"/>
  <c r="K23" i="41"/>
  <c r="K92" i="41"/>
  <c r="K51" i="41"/>
  <c r="K44" i="41"/>
  <c r="K52" i="41"/>
  <c r="K64" i="41"/>
  <c r="K93" i="41"/>
  <c r="K208" i="41"/>
  <c r="K174" i="41"/>
  <c r="K167" i="41"/>
  <c r="K213" i="41"/>
  <c r="K18" i="41"/>
  <c r="K16" i="41"/>
  <c r="K32" i="41"/>
  <c r="K45" i="41"/>
  <c r="K101" i="41"/>
  <c r="K70" i="41"/>
  <c r="K83" i="41"/>
  <c r="K40" i="41"/>
  <c r="K46" i="41"/>
  <c r="K54" i="41"/>
  <c r="K59" i="41"/>
  <c r="K69" i="41"/>
  <c r="K89" i="41"/>
  <c r="K82" i="41"/>
  <c r="K109" i="41"/>
  <c r="K95" i="41"/>
  <c r="K113" i="41"/>
  <c r="K126" i="41"/>
  <c r="K172" i="41"/>
  <c r="K210" i="41"/>
  <c r="K56" i="41"/>
  <c r="K71" i="41"/>
  <c r="K74" i="41"/>
  <c r="K110" i="41"/>
  <c r="K138" i="41"/>
  <c r="K36" i="41"/>
  <c r="K34" i="41"/>
  <c r="K38" i="41"/>
  <c r="K73" i="41"/>
  <c r="K75" i="41"/>
  <c r="K215" i="41"/>
  <c r="K137" i="41"/>
  <c r="K173" i="41"/>
  <c r="K209" i="41"/>
  <c r="K19" i="41"/>
  <c r="K33" i="41"/>
  <c r="K114" i="41"/>
  <c r="K41" i="41"/>
  <c r="K50" i="41"/>
  <c r="K55" i="41"/>
  <c r="K60" i="41"/>
  <c r="K63" i="41"/>
  <c r="K107" i="41"/>
  <c r="K96" i="41"/>
  <c r="K119" i="41"/>
  <c r="K115" i="41"/>
  <c r="K214" i="41"/>
  <c r="K203" i="41"/>
  <c r="J100" i="41"/>
  <c r="K100" i="41"/>
  <c r="I16" i="41"/>
  <c r="J16" i="41"/>
  <c r="I15" i="41"/>
  <c r="AP14" i="41"/>
  <c r="AR14" i="41"/>
  <c r="AO14" i="41"/>
  <c r="AS7" i="41"/>
  <c r="E217" i="41" l="1"/>
  <c r="E219" i="41" s="1"/>
  <c r="D45" i="6"/>
  <c r="F30" i="11"/>
  <c r="F34" i="11" s="1"/>
  <c r="F33" i="11"/>
  <c r="F31" i="11"/>
  <c r="F32" i="11"/>
  <c r="E176" i="41"/>
  <c r="E178" i="41" s="1"/>
  <c r="AP178" i="41" s="1"/>
  <c r="D35" i="6"/>
  <c r="F32" i="30"/>
  <c r="F30" i="30"/>
  <c r="F34" i="30"/>
  <c r="F31" i="30"/>
  <c r="F33" i="30"/>
  <c r="F59" i="19"/>
  <c r="F63" i="19"/>
  <c r="F62" i="19"/>
  <c r="F60" i="19"/>
  <c r="F61" i="19"/>
  <c r="D222" i="41"/>
  <c r="D224" i="41" s="1"/>
  <c r="C46" i="6"/>
  <c r="G217" i="41"/>
  <c r="G219" i="41" s="1"/>
  <c r="F45" i="6"/>
  <c r="G202" i="41"/>
  <c r="G204" i="41" s="1"/>
  <c r="F42" i="6"/>
  <c r="F62" i="20"/>
  <c r="F61" i="20"/>
  <c r="F59" i="20"/>
  <c r="F63" i="20" s="1"/>
  <c r="F60" i="20"/>
  <c r="F92" i="27"/>
  <c r="F91" i="27"/>
  <c r="F90" i="27"/>
  <c r="F94" i="27" s="1"/>
  <c r="F93" i="27"/>
  <c r="F93" i="32"/>
  <c r="F90" i="32"/>
  <c r="F91" i="32"/>
  <c r="F92" i="32"/>
  <c r="F94" i="32" s="1"/>
  <c r="E186" i="41"/>
  <c r="E188" i="41" s="1"/>
  <c r="AP188" i="41" s="1"/>
  <c r="D37" i="6"/>
  <c r="G145" i="41"/>
  <c r="G147" i="41" s="1"/>
  <c r="F27" i="6"/>
  <c r="F119" i="10"/>
  <c r="F123" i="10" s="1"/>
  <c r="F122" i="10"/>
  <c r="F121" i="10"/>
  <c r="F120" i="10"/>
  <c r="F92" i="30"/>
  <c r="F91" i="30"/>
  <c r="F94" i="30"/>
  <c r="F90" i="30"/>
  <c r="F93" i="30"/>
  <c r="F31" i="18"/>
  <c r="F32" i="18"/>
  <c r="F33" i="18"/>
  <c r="F30" i="18"/>
  <c r="F34" i="18" s="1"/>
  <c r="F119" i="14"/>
  <c r="F123" i="14" s="1"/>
  <c r="F122" i="14"/>
  <c r="F121" i="14"/>
  <c r="F120" i="14"/>
  <c r="D155" i="41"/>
  <c r="C29" i="6"/>
  <c r="F119" i="9"/>
  <c r="F122" i="9"/>
  <c r="F121" i="9"/>
  <c r="F123" i="9" s="1"/>
  <c r="F120" i="9"/>
  <c r="F91" i="14"/>
  <c r="F90" i="14"/>
  <c r="F94" i="14" s="1"/>
  <c r="F92" i="14"/>
  <c r="F93" i="14"/>
  <c r="L246" i="41"/>
  <c r="F27" i="32"/>
  <c r="F28" i="32"/>
  <c r="F87" i="18"/>
  <c r="F88" i="18" s="1"/>
  <c r="F87" i="20"/>
  <c r="F88" i="20"/>
  <c r="F122" i="11"/>
  <c r="F120" i="11"/>
  <c r="F119" i="11"/>
  <c r="F123" i="11" s="1"/>
  <c r="F121" i="11"/>
  <c r="F93" i="31"/>
  <c r="F91" i="31"/>
  <c r="F90" i="31"/>
  <c r="F94" i="31" s="1"/>
  <c r="F92" i="31"/>
  <c r="F121" i="29"/>
  <c r="F122" i="29"/>
  <c r="F123" i="29" s="1"/>
  <c r="F119" i="29"/>
  <c r="F120" i="29"/>
  <c r="G222" i="41"/>
  <c r="G224" i="41" s="1"/>
  <c r="F46" i="6"/>
  <c r="D212" i="41"/>
  <c r="C44" i="6"/>
  <c r="G176" i="41"/>
  <c r="G178" i="41" s="1"/>
  <c r="AR178" i="41" s="1"/>
  <c r="F35" i="6"/>
  <c r="F57" i="18"/>
  <c r="F56" i="18"/>
  <c r="F57" i="31"/>
  <c r="F56" i="31"/>
  <c r="F116" i="32"/>
  <c r="F117" i="32" s="1"/>
  <c r="F116" i="19"/>
  <c r="F117" i="19" s="1"/>
  <c r="F57" i="15"/>
  <c r="F56" i="15"/>
  <c r="F30" i="28"/>
  <c r="F34" i="28" s="1"/>
  <c r="F31" i="28"/>
  <c r="F33" i="28"/>
  <c r="F32" i="28"/>
  <c r="F123" i="7"/>
  <c r="F32" i="19"/>
  <c r="F33" i="19"/>
  <c r="F30" i="19"/>
  <c r="F34" i="19" s="1"/>
  <c r="F31" i="19"/>
  <c r="D151" i="41" s="1"/>
  <c r="D156" i="41"/>
  <c r="F75" i="10"/>
  <c r="E74" i="10" s="1"/>
  <c r="F74" i="10" s="1"/>
  <c r="F84" i="10" s="1"/>
  <c r="F85" i="10" s="1"/>
  <c r="F86" i="10" s="1"/>
  <c r="F87" i="10" s="1"/>
  <c r="F88" i="10" s="1"/>
  <c r="E75" i="10"/>
  <c r="F56" i="29"/>
  <c r="F57" i="29" s="1"/>
  <c r="F87" i="23"/>
  <c r="F88" i="23" s="1"/>
  <c r="F121" i="28"/>
  <c r="F122" i="28"/>
  <c r="F119" i="28"/>
  <c r="F123" i="28" s="1"/>
  <c r="F120" i="28"/>
  <c r="E207" i="41"/>
  <c r="E209" i="41" s="1"/>
  <c r="D43" i="6"/>
  <c r="D213" i="41"/>
  <c r="F32" i="27"/>
  <c r="F33" i="27"/>
  <c r="F30" i="27"/>
  <c r="F34" i="27" s="1"/>
  <c r="F31" i="27"/>
  <c r="D203" i="41" s="1"/>
  <c r="AC203" i="41" s="1"/>
  <c r="I203" i="41" s="1"/>
  <c r="F121" i="20"/>
  <c r="F123" i="20"/>
  <c r="F122" i="20"/>
  <c r="F119" i="20"/>
  <c r="F120" i="20"/>
  <c r="E227" i="41"/>
  <c r="E229" i="41" s="1"/>
  <c r="D47" i="6"/>
  <c r="F60" i="9"/>
  <c r="F61" i="9"/>
  <c r="F59" i="9"/>
  <c r="F63" i="9" s="1"/>
  <c r="F62" i="9"/>
  <c r="F92" i="25"/>
  <c r="F90" i="25"/>
  <c r="F94" i="25" s="1"/>
  <c r="F91" i="25"/>
  <c r="F93" i="25"/>
  <c r="F92" i="19"/>
  <c r="F91" i="19"/>
  <c r="F93" i="19"/>
  <c r="F90" i="19"/>
  <c r="F94" i="19" s="1"/>
  <c r="F207" i="41"/>
  <c r="F210" i="41" s="1"/>
  <c r="E43" i="6"/>
  <c r="F93" i="7"/>
  <c r="F92" i="7"/>
  <c r="F91" i="7"/>
  <c r="F90" i="7"/>
  <c r="F94" i="7" s="1"/>
  <c r="L193" i="41"/>
  <c r="L274" i="41"/>
  <c r="L283" i="41"/>
  <c r="L247" i="41"/>
  <c r="L248" i="41"/>
  <c r="L255" i="41"/>
  <c r="AS255" i="41"/>
  <c r="AU254" i="41"/>
  <c r="AV253" i="41"/>
  <c r="AV252" i="41"/>
  <c r="AV255" i="41"/>
  <c r="AT254" i="41"/>
  <c r="AU253" i="41"/>
  <c r="AU252" i="41"/>
  <c r="AV251" i="41"/>
  <c r="AT250" i="41"/>
  <c r="AS254" i="41"/>
  <c r="AT253" i="41"/>
  <c r="AT252" i="41"/>
  <c r="AS251" i="41"/>
  <c r="AS250" i="41"/>
  <c r="AV249" i="41"/>
  <c r="AS248" i="41"/>
  <c r="AT247" i="41"/>
  <c r="AS253" i="41"/>
  <c r="AS252" i="41"/>
  <c r="AU249" i="41"/>
  <c r="AV248" i="41"/>
  <c r="AS247" i="41"/>
  <c r="AT246" i="41"/>
  <c r="AU277" i="41"/>
  <c r="AU276" i="41"/>
  <c r="AV275" i="41"/>
  <c r="AS274" i="41"/>
  <c r="AT273" i="41"/>
  <c r="AU272" i="41"/>
  <c r="AU251" i="41"/>
  <c r="AV250" i="41"/>
  <c r="AT249" i="41"/>
  <c r="AU248" i="41"/>
  <c r="AV247" i="41"/>
  <c r="AU246" i="41"/>
  <c r="AS277" i="41"/>
  <c r="AS276" i="41"/>
  <c r="AT275" i="41"/>
  <c r="AU255" i="41"/>
  <c r="AV277" i="41"/>
  <c r="AV276" i="41"/>
  <c r="AU250" i="41"/>
  <c r="AS246" i="41"/>
  <c r="M246" i="41" s="1"/>
  <c r="AU273" i="41"/>
  <c r="AT272" i="41"/>
  <c r="AT271" i="41"/>
  <c r="AU270" i="41"/>
  <c r="AV269" i="41"/>
  <c r="AS268" i="41"/>
  <c r="AT277" i="41"/>
  <c r="AU275" i="41"/>
  <c r="AV274" i="41"/>
  <c r="AS273" i="41"/>
  <c r="AS272" i="41"/>
  <c r="AS271" i="41"/>
  <c r="AT270" i="41"/>
  <c r="AU269" i="41"/>
  <c r="AV268" i="41"/>
  <c r="AV254" i="41"/>
  <c r="AT251" i="41"/>
  <c r="AS249" i="41"/>
  <c r="AT248" i="41"/>
  <c r="AU247" i="41"/>
  <c r="AS275" i="41"/>
  <c r="AU274" i="41"/>
  <c r="AT255" i="41"/>
  <c r="AV272" i="41"/>
  <c r="AV271" i="41"/>
  <c r="AV246" i="41"/>
  <c r="AU271" i="41"/>
  <c r="AV270" i="41"/>
  <c r="AT274" i="41"/>
  <c r="AV273" i="41"/>
  <c r="AS270" i="41"/>
  <c r="AT269" i="41"/>
  <c r="AU268" i="41"/>
  <c r="AT276" i="41"/>
  <c r="AS269" i="41"/>
  <c r="AT268" i="41"/>
  <c r="AT280" i="41"/>
  <c r="AU280" i="41"/>
  <c r="AV281" i="41"/>
  <c r="AV282" i="41"/>
  <c r="AV283" i="41"/>
  <c r="AV280" i="41"/>
  <c r="AS281" i="41"/>
  <c r="AS282" i="41"/>
  <c r="AS283" i="41"/>
  <c r="AT281" i="41"/>
  <c r="AT282" i="41"/>
  <c r="AT283" i="41"/>
  <c r="AU283" i="41"/>
  <c r="AU282" i="41"/>
  <c r="AS280" i="41"/>
  <c r="AU281" i="41"/>
  <c r="AU183" i="41"/>
  <c r="AU109" i="41"/>
  <c r="AU193" i="41"/>
  <c r="AU89" i="41"/>
  <c r="AU55" i="41"/>
  <c r="AU184" i="41"/>
  <c r="AU110" i="41"/>
  <c r="AU88" i="41"/>
  <c r="AU54" i="41"/>
  <c r="AU188" i="41"/>
  <c r="AU182" i="41"/>
  <c r="AU187" i="41"/>
  <c r="AU178" i="41"/>
  <c r="AU192" i="41"/>
  <c r="AU177" i="41"/>
  <c r="AV193" i="41"/>
  <c r="AS192" i="41"/>
  <c r="AT188" i="41"/>
  <c r="AV184" i="41"/>
  <c r="AV177" i="41"/>
  <c r="AV110" i="41"/>
  <c r="AT89" i="41"/>
  <c r="AT88" i="41"/>
  <c r="AS54" i="41"/>
  <c r="AS177" i="41"/>
  <c r="AT109" i="41"/>
  <c r="AT55" i="41"/>
  <c r="AV54" i="41"/>
  <c r="AT192" i="41"/>
  <c r="AS187" i="41"/>
  <c r="AS182" i="41"/>
  <c r="AS109" i="41"/>
  <c r="AV89" i="41"/>
  <c r="AV88" i="41"/>
  <c r="AS55" i="41"/>
  <c r="AT193" i="41"/>
  <c r="AS188" i="41"/>
  <c r="AV187" i="41"/>
  <c r="AT184" i="41"/>
  <c r="AV182" i="41"/>
  <c r="AS178" i="41"/>
  <c r="AT177" i="41"/>
  <c r="AT110" i="41"/>
  <c r="AV109" i="41"/>
  <c r="AS89" i="41"/>
  <c r="AS88" i="41"/>
  <c r="AV55" i="41"/>
  <c r="AV192" i="41"/>
  <c r="AT187" i="41"/>
  <c r="AS184" i="41"/>
  <c r="AV183" i="41"/>
  <c r="AT182" i="41"/>
  <c r="AS110" i="41"/>
  <c r="AT183" i="41"/>
  <c r="AT54" i="41"/>
  <c r="L282" i="41"/>
  <c r="L251" i="41"/>
  <c r="L269" i="41"/>
  <c r="L271" i="41"/>
  <c r="L250" i="41"/>
  <c r="L268" i="41"/>
  <c r="L272" i="41"/>
  <c r="L252" i="41"/>
  <c r="L254" i="41"/>
  <c r="L280" i="41"/>
  <c r="N228" i="41"/>
  <c r="L187" i="41"/>
  <c r="L131" i="41"/>
  <c r="L184" i="41"/>
  <c r="L281" i="41"/>
  <c r="L253" i="41"/>
  <c r="L273" i="41"/>
  <c r="L275" i="41"/>
  <c r="F59" i="26"/>
  <c r="F60" i="26"/>
  <c r="F63" i="26" s="1"/>
  <c r="F62" i="26"/>
  <c r="F61" i="26"/>
  <c r="F90" i="26"/>
  <c r="F92" i="26"/>
  <c r="F93" i="26"/>
  <c r="F91" i="26"/>
  <c r="F119" i="26"/>
  <c r="F121" i="26"/>
  <c r="F123" i="26" s="1"/>
  <c r="F122" i="26"/>
  <c r="F120" i="26"/>
  <c r="F121" i="25"/>
  <c r="F122" i="25"/>
  <c r="F120" i="25"/>
  <c r="F119" i="25"/>
  <c r="F32" i="25"/>
  <c r="F30" i="25"/>
  <c r="F31" i="25"/>
  <c r="D187" i="41" s="1"/>
  <c r="F33" i="25"/>
  <c r="F33" i="26"/>
  <c r="F31" i="26"/>
  <c r="F32" i="26"/>
  <c r="F30" i="26"/>
  <c r="F119" i="15"/>
  <c r="F120" i="15"/>
  <c r="F123" i="15" s="1"/>
  <c r="F121" i="15"/>
  <c r="F122" i="15"/>
  <c r="F93" i="15"/>
  <c r="F90" i="15"/>
  <c r="F94" i="15" s="1"/>
  <c r="F91" i="15"/>
  <c r="F92" i="15"/>
  <c r="F31" i="15"/>
  <c r="F32" i="15"/>
  <c r="F33" i="15"/>
  <c r="F34" i="15"/>
  <c r="F30" i="15"/>
  <c r="F120" i="17"/>
  <c r="F119" i="17"/>
  <c r="F122" i="17"/>
  <c r="F59" i="17"/>
  <c r="F60" i="17"/>
  <c r="F62" i="17"/>
  <c r="F91" i="17"/>
  <c r="F90" i="17"/>
  <c r="F92" i="17"/>
  <c r="F93" i="17"/>
  <c r="F33" i="17"/>
  <c r="F32" i="17"/>
  <c r="F30" i="17"/>
  <c r="F31" i="17"/>
  <c r="G181" i="41"/>
  <c r="G183" i="41" s="1"/>
  <c r="F36" i="6"/>
  <c r="F93" i="24"/>
  <c r="F90" i="24"/>
  <c r="F92" i="24"/>
  <c r="F91" i="24"/>
  <c r="E181" i="41"/>
  <c r="E183" i="41" s="1"/>
  <c r="D36" i="6"/>
  <c r="F31" i="24"/>
  <c r="F32" i="24"/>
  <c r="F33" i="24"/>
  <c r="F30" i="24"/>
  <c r="E9" i="22"/>
  <c r="F9" i="22" s="1"/>
  <c r="F24" i="22" s="1"/>
  <c r="F25" i="22" s="1"/>
  <c r="F26" i="22" s="1"/>
  <c r="F27" i="22" s="1"/>
  <c r="F28" i="22" s="1"/>
  <c r="F33" i="23"/>
  <c r="F31" i="23"/>
  <c r="F32" i="23"/>
  <c r="F30" i="23"/>
  <c r="F34" i="23" s="1"/>
  <c r="F31" i="21"/>
  <c r="D167" i="41" s="1"/>
  <c r="AC167" i="41" s="1"/>
  <c r="I167" i="41" s="1"/>
  <c r="F61" i="21"/>
  <c r="F60" i="21"/>
  <c r="F59" i="21"/>
  <c r="F122" i="21"/>
  <c r="F119" i="21"/>
  <c r="F120" i="21"/>
  <c r="F90" i="21"/>
  <c r="F91" i="21"/>
  <c r="F93" i="21"/>
  <c r="F92" i="21"/>
  <c r="F56" i="8"/>
  <c r="F57" i="8" s="1"/>
  <c r="F88" i="8"/>
  <c r="F93" i="8" s="1"/>
  <c r="F90" i="8"/>
  <c r="F92" i="8"/>
  <c r="F119" i="8"/>
  <c r="F121" i="8"/>
  <c r="F122" i="8"/>
  <c r="F120" i="8"/>
  <c r="F62" i="22"/>
  <c r="F59" i="22"/>
  <c r="F60" i="22"/>
  <c r="F61" i="22"/>
  <c r="F116" i="22"/>
  <c r="F117" i="22" s="1"/>
  <c r="F87" i="22"/>
  <c r="F88" i="22" s="1"/>
  <c r="F31" i="8"/>
  <c r="F30" i="8"/>
  <c r="F30" i="14"/>
  <c r="F32" i="14"/>
  <c r="F33" i="14"/>
  <c r="F31" i="7"/>
  <c r="F30" i="7"/>
  <c r="F33" i="7"/>
  <c r="F34" i="7"/>
  <c r="F32" i="7"/>
  <c r="F90" i="9"/>
  <c r="F92" i="9"/>
  <c r="F91" i="9"/>
  <c r="F94" i="9" s="1"/>
  <c r="F93" i="9"/>
  <c r="F31" i="9"/>
  <c r="F32" i="9"/>
  <c r="F30" i="9"/>
  <c r="F33" i="9"/>
  <c r="F92" i="29"/>
  <c r="F90" i="29"/>
  <c r="F93" i="29"/>
  <c r="F91" i="29"/>
  <c r="F61" i="7"/>
  <c r="F63" i="7"/>
  <c r="F59" i="7"/>
  <c r="F60" i="7"/>
  <c r="F62" i="7"/>
  <c r="F62" i="14"/>
  <c r="F60" i="14"/>
  <c r="F61" i="14"/>
  <c r="F59" i="14"/>
  <c r="F92" i="13"/>
  <c r="F93" i="13"/>
  <c r="F91" i="13"/>
  <c r="F90" i="13"/>
  <c r="F30" i="13"/>
  <c r="F34" i="13" s="1"/>
  <c r="F31" i="13"/>
  <c r="F32" i="13"/>
  <c r="F33" i="13"/>
  <c r="F91" i="12"/>
  <c r="F92" i="12"/>
  <c r="F93" i="12"/>
  <c r="F90" i="12"/>
  <c r="F94" i="12" s="1"/>
  <c r="F33" i="12"/>
  <c r="F31" i="12"/>
  <c r="F30" i="12"/>
  <c r="F32" i="12"/>
  <c r="AO120" i="41"/>
  <c r="AR120" i="41"/>
  <c r="J51" i="41"/>
  <c r="AP120" i="41"/>
  <c r="AQ120" i="41"/>
  <c r="AR290" i="41"/>
  <c r="AP290" i="41"/>
  <c r="AQ290" i="41"/>
  <c r="AO290" i="41"/>
  <c r="I27" i="41"/>
  <c r="L242" i="41"/>
  <c r="L264" i="41"/>
  <c r="L263" i="41"/>
  <c r="L245" i="41"/>
  <c r="L243" i="41"/>
  <c r="L267" i="41"/>
  <c r="L262" i="41"/>
  <c r="AT262" i="41"/>
  <c r="AT263" i="41"/>
  <c r="AT264" i="41"/>
  <c r="AT265" i="41"/>
  <c r="AT266" i="41"/>
  <c r="AU262" i="41"/>
  <c r="AV262" i="41"/>
  <c r="AV264" i="41"/>
  <c r="AU265" i="41"/>
  <c r="AS266" i="41"/>
  <c r="AU267" i="41"/>
  <c r="AS263" i="41"/>
  <c r="AV265" i="41"/>
  <c r="AU266" i="41"/>
  <c r="AV267" i="41"/>
  <c r="AS262" i="41"/>
  <c r="AU263" i="41"/>
  <c r="AS264" i="41"/>
  <c r="AV266" i="41"/>
  <c r="AS267" i="41"/>
  <c r="AT242" i="41"/>
  <c r="AU264" i="41"/>
  <c r="AV242" i="41"/>
  <c r="AS243" i="41"/>
  <c r="AT244" i="41"/>
  <c r="AS242" i="41"/>
  <c r="AV243" i="41"/>
  <c r="AV244" i="41"/>
  <c r="AT245" i="41"/>
  <c r="AU244" i="41"/>
  <c r="AS245" i="41"/>
  <c r="AS265" i="41"/>
  <c r="AT267" i="41"/>
  <c r="AU242" i="41"/>
  <c r="AU245" i="41"/>
  <c r="AU243" i="41"/>
  <c r="AV263" i="41"/>
  <c r="AT243" i="41"/>
  <c r="AS244" i="41"/>
  <c r="AV245" i="41"/>
  <c r="L244" i="41"/>
  <c r="L266" i="41"/>
  <c r="L265" i="41"/>
  <c r="L237" i="41"/>
  <c r="N285" i="41"/>
  <c r="N287" i="41"/>
  <c r="N289" i="41"/>
  <c r="N284" i="41"/>
  <c r="N286" i="41"/>
  <c r="N288" i="41"/>
  <c r="AU258" i="41"/>
  <c r="AS259" i="41"/>
  <c r="AU260" i="41"/>
  <c r="AV258" i="41"/>
  <c r="AT259" i="41"/>
  <c r="AV260" i="41"/>
  <c r="AT261" i="41"/>
  <c r="AS258" i="41"/>
  <c r="AU259" i="41"/>
  <c r="AT258" i="41"/>
  <c r="AV259" i="41"/>
  <c r="AT260" i="41"/>
  <c r="AV261" i="41"/>
  <c r="AS261" i="41"/>
  <c r="AU261" i="41"/>
  <c r="AS260" i="41"/>
  <c r="L260" i="41"/>
  <c r="L259" i="41"/>
  <c r="L258" i="41"/>
  <c r="L261" i="41"/>
  <c r="L240" i="41"/>
  <c r="L239" i="41"/>
  <c r="L238" i="41"/>
  <c r="AV236" i="41"/>
  <c r="AT237" i="41"/>
  <c r="AV238" i="41"/>
  <c r="AT239" i="41"/>
  <c r="AT236" i="41"/>
  <c r="AV237" i="41"/>
  <c r="AT238" i="41"/>
  <c r="AV239" i="41"/>
  <c r="AS236" i="41"/>
  <c r="AU239" i="41"/>
  <c r="AU240" i="41"/>
  <c r="AS241" i="41"/>
  <c r="AU236" i="41"/>
  <c r="AS237" i="41"/>
  <c r="AV240" i="41"/>
  <c r="AU237" i="41"/>
  <c r="AS238" i="41"/>
  <c r="AS240" i="41"/>
  <c r="AU241" i="41"/>
  <c r="AV241" i="41"/>
  <c r="AT240" i="41"/>
  <c r="AU238" i="41"/>
  <c r="AS239" i="41"/>
  <c r="AT241" i="41"/>
  <c r="L236" i="41"/>
  <c r="L241" i="41"/>
  <c r="N132" i="41"/>
  <c r="N147" i="41"/>
  <c r="N229" i="41"/>
  <c r="N131" i="41"/>
  <c r="N141" i="41"/>
  <c r="N218" i="41"/>
  <c r="N142" i="41"/>
  <c r="N220" i="41"/>
  <c r="N179" i="41"/>
  <c r="N153" i="41"/>
  <c r="O8" i="41"/>
  <c r="N223" i="41"/>
  <c r="N230" i="41"/>
  <c r="N157" i="41"/>
  <c r="N146" i="41"/>
  <c r="N158" i="41"/>
  <c r="N219" i="41"/>
  <c r="N143" i="41"/>
  <c r="N224" i="41"/>
  <c r="N225" i="41"/>
  <c r="N151" i="41"/>
  <c r="N133" i="41"/>
  <c r="N194" i="41"/>
  <c r="N148" i="41"/>
  <c r="N189" i="41"/>
  <c r="N152" i="41"/>
  <c r="N156" i="41"/>
  <c r="L36" i="41"/>
  <c r="AB27" i="33"/>
  <c r="AB28" i="33" s="1"/>
  <c r="AB29" i="33" s="1"/>
  <c r="AB30" i="33" s="1"/>
  <c r="AB31" i="33" s="1"/>
  <c r="Y27" i="33"/>
  <c r="Y28" i="33" s="1"/>
  <c r="Y29" i="33" s="1"/>
  <c r="Y30" i="33" s="1"/>
  <c r="Y31" i="33" s="1"/>
  <c r="Y32" i="33" s="1"/>
  <c r="Y33" i="33" s="1"/>
  <c r="Y35" i="33" s="1"/>
  <c r="AE27" i="33"/>
  <c r="AE28" i="33" s="1"/>
  <c r="AE29" i="33" s="1"/>
  <c r="AE30" i="33" s="1"/>
  <c r="AE31" i="33" s="1"/>
  <c r="AE32" i="33" s="1"/>
  <c r="AE33" i="33" s="1"/>
  <c r="AE35" i="33" s="1"/>
  <c r="F63" i="10"/>
  <c r="E67" i="41" s="1"/>
  <c r="E82" i="41" s="1"/>
  <c r="F91" i="11"/>
  <c r="F92" i="11"/>
  <c r="F90" i="11"/>
  <c r="F93" i="11"/>
  <c r="F61" i="11"/>
  <c r="F62" i="11"/>
  <c r="F60" i="11"/>
  <c r="F59" i="11"/>
  <c r="AU213" i="41"/>
  <c r="AU137" i="41"/>
  <c r="AU106" i="41"/>
  <c r="AU93" i="41"/>
  <c r="AU75" i="41"/>
  <c r="AU51" i="41"/>
  <c r="AU38" i="41"/>
  <c r="AU20" i="41"/>
  <c r="AU210" i="41"/>
  <c r="AU173" i="41"/>
  <c r="AU136" i="41"/>
  <c r="AU105" i="41"/>
  <c r="AU97" i="41"/>
  <c r="AU92" i="41"/>
  <c r="AU87" i="41"/>
  <c r="AU74" i="41"/>
  <c r="AU69" i="41"/>
  <c r="AU50" i="41"/>
  <c r="AU42" i="41"/>
  <c r="AU37" i="41"/>
  <c r="AU32" i="41"/>
  <c r="AU24" i="41"/>
  <c r="AU19" i="41"/>
  <c r="AU14" i="41"/>
  <c r="AU215" i="41"/>
  <c r="AU172" i="41"/>
  <c r="AU78" i="41"/>
  <c r="AU36" i="41"/>
  <c r="AU18" i="41"/>
  <c r="AU214" i="41"/>
  <c r="AU138" i="41"/>
  <c r="AU91" i="41"/>
  <c r="AU209" i="41"/>
  <c r="AU73" i="41"/>
  <c r="AU41" i="41"/>
  <c r="AU23" i="41"/>
  <c r="AU96" i="41"/>
  <c r="AU208" i="41"/>
  <c r="AT24" i="41"/>
  <c r="AV97" i="41"/>
  <c r="AS24" i="41"/>
  <c r="AV24" i="41"/>
  <c r="AT97" i="41"/>
  <c r="AS97" i="41"/>
  <c r="AV215" i="41"/>
  <c r="AT214" i="41"/>
  <c r="AS213" i="41"/>
  <c r="AV213" i="41"/>
  <c r="AS215" i="41"/>
  <c r="AT213" i="41"/>
  <c r="AS210" i="41"/>
  <c r="AV209" i="41"/>
  <c r="AV210" i="41"/>
  <c r="AT209" i="41"/>
  <c r="AT208" i="41"/>
  <c r="AS174" i="41"/>
  <c r="AV214" i="41"/>
  <c r="AV208" i="41"/>
  <c r="AV172" i="41"/>
  <c r="AT172" i="41"/>
  <c r="AS138" i="41"/>
  <c r="AS172" i="41"/>
  <c r="AV138" i="41"/>
  <c r="AT137" i="41"/>
  <c r="AS136" i="41"/>
  <c r="AT174" i="41"/>
  <c r="AT138" i="41"/>
  <c r="AV137" i="41"/>
  <c r="AT106" i="41"/>
  <c r="AS105" i="41"/>
  <c r="AS96" i="41"/>
  <c r="AS93" i="41"/>
  <c r="AV174" i="41"/>
  <c r="AT136" i="41"/>
  <c r="AT96" i="41"/>
  <c r="AT215" i="41"/>
  <c r="AV136" i="41"/>
  <c r="AS106" i="41"/>
  <c r="AT105" i="41"/>
  <c r="AS92" i="41"/>
  <c r="AS91" i="41"/>
  <c r="AV87" i="41"/>
  <c r="AV93" i="41"/>
  <c r="AV92" i="41"/>
  <c r="AV91" i="41"/>
  <c r="AT210" i="41"/>
  <c r="AT92" i="41"/>
  <c r="AT91" i="41"/>
  <c r="AS87" i="41"/>
  <c r="AS78" i="41"/>
  <c r="AS75" i="41"/>
  <c r="AS74" i="41"/>
  <c r="AS73" i="41"/>
  <c r="AV69" i="41"/>
  <c r="AT50" i="41"/>
  <c r="AV96" i="41"/>
  <c r="AV78" i="41"/>
  <c r="AV74" i="41"/>
  <c r="AT69" i="41"/>
  <c r="AT51" i="41"/>
  <c r="AT41" i="41"/>
  <c r="AT38" i="41"/>
  <c r="AT78" i="41"/>
  <c r="AT74" i="41"/>
  <c r="AT73" i="41"/>
  <c r="AS69" i="41"/>
  <c r="AS51" i="41"/>
  <c r="AS50" i="41"/>
  <c r="AS42" i="41"/>
  <c r="AS41" i="41"/>
  <c r="AS38" i="41"/>
  <c r="AS37" i="41"/>
  <c r="AS36" i="41"/>
  <c r="AV106" i="41"/>
  <c r="AT93" i="41"/>
  <c r="AT75" i="41"/>
  <c r="AV73" i="41"/>
  <c r="AV51" i="41"/>
  <c r="AV50" i="41"/>
  <c r="AT42" i="41"/>
  <c r="AV75" i="41"/>
  <c r="AV32" i="41"/>
  <c r="AT19" i="41"/>
  <c r="AS32" i="41"/>
  <c r="AV20" i="41"/>
  <c r="AV105" i="41"/>
  <c r="AV38" i="41"/>
  <c r="AV37" i="41"/>
  <c r="AT32" i="41"/>
  <c r="AV23" i="41"/>
  <c r="AS19" i="41"/>
  <c r="AT18" i="41"/>
  <c r="AT37" i="41"/>
  <c r="AT23" i="41"/>
  <c r="AS18" i="41"/>
  <c r="AT87" i="41"/>
  <c r="AV42" i="41"/>
  <c r="AV36" i="41"/>
  <c r="AS23" i="41"/>
  <c r="AT20" i="41"/>
  <c r="AV19" i="41"/>
  <c r="AT36" i="41"/>
  <c r="AS20" i="41"/>
  <c r="AV18" i="41"/>
  <c r="AV41" i="41"/>
  <c r="AS209" i="41"/>
  <c r="E9" i="16"/>
  <c r="F9" i="16" s="1"/>
  <c r="F24" i="16" s="1"/>
  <c r="F25" i="16" s="1"/>
  <c r="F26" i="16" s="1"/>
  <c r="F27" i="16" s="1"/>
  <c r="F28" i="16" s="1"/>
  <c r="F28" i="1"/>
  <c r="F30" i="1" s="1"/>
  <c r="F59" i="1"/>
  <c r="F62" i="1"/>
  <c r="F61" i="1"/>
  <c r="F63" i="1" s="1"/>
  <c r="F60" i="1"/>
  <c r="F62" i="16"/>
  <c r="F59" i="16"/>
  <c r="F60" i="16"/>
  <c r="F61" i="16"/>
  <c r="F90" i="16"/>
  <c r="F93" i="16"/>
  <c r="F92" i="16"/>
  <c r="F91" i="16"/>
  <c r="F91" i="1"/>
  <c r="F92" i="1"/>
  <c r="F93" i="1"/>
  <c r="F90" i="1"/>
  <c r="F120" i="16"/>
  <c r="F122" i="16"/>
  <c r="F119" i="16"/>
  <c r="F121" i="16"/>
  <c r="F122" i="1"/>
  <c r="F121" i="1"/>
  <c r="F120" i="1"/>
  <c r="F119" i="1"/>
  <c r="S27" i="33"/>
  <c r="S28" i="33" s="1"/>
  <c r="S29" i="33" s="1"/>
  <c r="V27" i="33"/>
  <c r="V28" i="33" s="1"/>
  <c r="V29" i="33" s="1"/>
  <c r="J27" i="33"/>
  <c r="J28" i="33" s="1"/>
  <c r="J29" i="33" s="1"/>
  <c r="G27" i="33"/>
  <c r="G28" i="33" s="1"/>
  <c r="G29" i="33" s="1"/>
  <c r="F90" i="10"/>
  <c r="F92" i="10"/>
  <c r="F93" i="10"/>
  <c r="F91" i="10"/>
  <c r="AH27" i="33"/>
  <c r="AH28" i="33" s="1"/>
  <c r="AH29" i="33" s="1"/>
  <c r="P27" i="33"/>
  <c r="AH51" i="33"/>
  <c r="AH57" i="33" s="1"/>
  <c r="AH73" i="33" s="1"/>
  <c r="Y51" i="33"/>
  <c r="Y57" i="33" s="1"/>
  <c r="Y73" i="33" s="1"/>
  <c r="AE51" i="33"/>
  <c r="AE57" i="33" s="1"/>
  <c r="AE73" i="33" s="1"/>
  <c r="AB51" i="33"/>
  <c r="AB57" i="33" s="1"/>
  <c r="AB73" i="33" s="1"/>
  <c r="G51" i="33"/>
  <c r="G57" i="33" s="1"/>
  <c r="V51" i="33"/>
  <c r="V57" i="33" s="1"/>
  <c r="S51" i="33"/>
  <c r="S57" i="33" s="1"/>
  <c r="M51" i="33"/>
  <c r="M57" i="33" s="1"/>
  <c r="J51" i="33"/>
  <c r="J57" i="33" s="1"/>
  <c r="P51" i="33"/>
  <c r="P57" i="33" s="1"/>
  <c r="M27" i="33"/>
  <c r="E9" i="10"/>
  <c r="F9" i="10" s="1"/>
  <c r="F24" i="10" s="1"/>
  <c r="F25" i="10" s="1"/>
  <c r="F26" i="10" s="1"/>
  <c r="F121" i="12"/>
  <c r="F120" i="12"/>
  <c r="F119" i="12"/>
  <c r="F122" i="12"/>
  <c r="F120" i="13"/>
  <c r="F121" i="13"/>
  <c r="F119" i="13"/>
  <c r="F122" i="13"/>
  <c r="F61" i="12"/>
  <c r="F59" i="12"/>
  <c r="F60" i="12"/>
  <c r="F62" i="12"/>
  <c r="F60" i="13"/>
  <c r="F62" i="13"/>
  <c r="F59" i="13"/>
  <c r="F61" i="13"/>
  <c r="I214" i="41"/>
  <c r="AS214" i="41"/>
  <c r="L78" i="41"/>
  <c r="L81" i="41"/>
  <c r="L105" i="41"/>
  <c r="L111" i="41"/>
  <c r="L115" i="41"/>
  <c r="K15" i="41"/>
  <c r="J15" i="41"/>
  <c r="L137" i="41"/>
  <c r="L198" i="41"/>
  <c r="L210" i="41"/>
  <c r="L20" i="41"/>
  <c r="L22" i="41"/>
  <c r="L26" i="41"/>
  <c r="L73" i="41"/>
  <c r="L52" i="41"/>
  <c r="L89" i="41"/>
  <c r="L113" i="41"/>
  <c r="L109" i="41"/>
  <c r="L138" i="41"/>
  <c r="L215" i="41"/>
  <c r="L203" i="41"/>
  <c r="L83" i="41"/>
  <c r="L45" i="41"/>
  <c r="L38" i="41"/>
  <c r="L58" i="41"/>
  <c r="L23" i="41"/>
  <c r="L14" i="41"/>
  <c r="L37" i="41"/>
  <c r="L59" i="41"/>
  <c r="L70" i="41"/>
  <c r="L110" i="41"/>
  <c r="L101" i="41"/>
  <c r="L208" i="41"/>
  <c r="L214" i="41"/>
  <c r="L28" i="41"/>
  <c r="L16" i="41"/>
  <c r="L27" i="41"/>
  <c r="L77" i="41"/>
  <c r="L34" i="41"/>
  <c r="L82" i="41"/>
  <c r="L75" i="41"/>
  <c r="L41" i="41"/>
  <c r="L46" i="41"/>
  <c r="L55" i="41"/>
  <c r="L60" i="41"/>
  <c r="L69" i="41"/>
  <c r="L91" i="41"/>
  <c r="L100" i="41"/>
  <c r="L95" i="41"/>
  <c r="L106" i="41"/>
  <c r="O224" i="41"/>
  <c r="L162" i="41"/>
  <c r="L44" i="41"/>
  <c r="L99" i="41"/>
  <c r="L97" i="41"/>
  <c r="L126" i="41"/>
  <c r="L24" i="41"/>
  <c r="L63" i="41"/>
  <c r="L40" i="41"/>
  <c r="L54" i="41"/>
  <c r="L64" i="41"/>
  <c r="L74" i="41"/>
  <c r="L92" i="41"/>
  <c r="L93" i="41"/>
  <c r="L119" i="41"/>
  <c r="L167" i="41"/>
  <c r="L209" i="41"/>
  <c r="L213" i="41"/>
  <c r="L15" i="41"/>
  <c r="L33" i="41"/>
  <c r="L19" i="41"/>
  <c r="L18" i="41"/>
  <c r="L32" i="41"/>
  <c r="L51" i="41"/>
  <c r="L88" i="41"/>
  <c r="L42" i="41"/>
  <c r="L50" i="41"/>
  <c r="L56" i="41"/>
  <c r="L62" i="41"/>
  <c r="L71" i="41"/>
  <c r="L79" i="41"/>
  <c r="L87" i="41"/>
  <c r="L96" i="41"/>
  <c r="L107" i="41"/>
  <c r="L114" i="41"/>
  <c r="L117" i="41"/>
  <c r="L118" i="41"/>
  <c r="P8" i="41"/>
  <c r="AT14" i="41"/>
  <c r="AV14" i="41"/>
  <c r="AS14" i="41"/>
  <c r="AW7" i="41"/>
  <c r="G207" i="41" l="1"/>
  <c r="G209" i="41" s="1"/>
  <c r="F43" i="6"/>
  <c r="F59" i="29"/>
  <c r="F61" i="29"/>
  <c r="F60" i="29"/>
  <c r="F63" i="29" s="1"/>
  <c r="F62" i="29"/>
  <c r="D207" i="41"/>
  <c r="C43" i="6"/>
  <c r="F121" i="32"/>
  <c r="F120" i="32"/>
  <c r="F122" i="32"/>
  <c r="F119" i="32"/>
  <c r="F123" i="32" s="1"/>
  <c r="F222" i="41"/>
  <c r="F225" i="41" s="1"/>
  <c r="E46" i="6"/>
  <c r="G12" i="41"/>
  <c r="G27" i="41" s="1"/>
  <c r="F10" i="6"/>
  <c r="F227" i="41"/>
  <c r="F230" i="41" s="1"/>
  <c r="E47" i="6"/>
  <c r="F150" i="41"/>
  <c r="F153" i="41" s="1"/>
  <c r="E28" i="6"/>
  <c r="D202" i="41"/>
  <c r="D204" i="41" s="1"/>
  <c r="AG204" i="41" s="1"/>
  <c r="J204" i="41" s="1"/>
  <c r="C42" i="6"/>
  <c r="D150" i="41"/>
  <c r="D152" i="41" s="1"/>
  <c r="C28" i="6"/>
  <c r="G212" i="41"/>
  <c r="G214" i="41" s="1"/>
  <c r="F44" i="6"/>
  <c r="F90" i="18"/>
  <c r="F94" i="18" s="1"/>
  <c r="F92" i="18"/>
  <c r="F91" i="18"/>
  <c r="F93" i="18"/>
  <c r="F202" i="41"/>
  <c r="F205" i="41" s="1"/>
  <c r="AQ205" i="41" s="1"/>
  <c r="L205" i="41" s="1"/>
  <c r="E42" i="6"/>
  <c r="E155" i="41"/>
  <c r="E157" i="41" s="1"/>
  <c r="D29" i="6"/>
  <c r="D12" i="41"/>
  <c r="D27" i="41" s="1"/>
  <c r="C10" i="6"/>
  <c r="E197" i="41"/>
  <c r="E199" i="41" s="1"/>
  <c r="D41" i="6"/>
  <c r="G197" i="41"/>
  <c r="G199" i="41" s="1"/>
  <c r="F41" i="6"/>
  <c r="G48" i="41"/>
  <c r="G63" i="41" s="1"/>
  <c r="F12" i="6"/>
  <c r="F103" i="41"/>
  <c r="F119" i="41" s="1"/>
  <c r="I119" i="41" s="1"/>
  <c r="E18" i="6"/>
  <c r="F186" i="41"/>
  <c r="F189" i="41" s="1"/>
  <c r="E37" i="6"/>
  <c r="F92" i="23"/>
  <c r="F90" i="23"/>
  <c r="F91" i="23"/>
  <c r="F93" i="23"/>
  <c r="F94" i="23" s="1"/>
  <c r="F120" i="19"/>
  <c r="F119" i="19"/>
  <c r="F122" i="19"/>
  <c r="F123" i="19" s="1"/>
  <c r="F121" i="19"/>
  <c r="F48" i="41"/>
  <c r="F64" i="41" s="1"/>
  <c r="I64" i="41" s="1"/>
  <c r="E12" i="6"/>
  <c r="D145" i="41"/>
  <c r="C27" i="6"/>
  <c r="G67" i="41"/>
  <c r="G82" i="41" s="1"/>
  <c r="F16" i="6"/>
  <c r="F34" i="12"/>
  <c r="F94" i="13"/>
  <c r="F91" i="8"/>
  <c r="D146" i="41"/>
  <c r="F63" i="17"/>
  <c r="F34" i="26"/>
  <c r="F123" i="25"/>
  <c r="M275" i="41"/>
  <c r="M248" i="41"/>
  <c r="F62" i="15"/>
  <c r="F60" i="15"/>
  <c r="F59" i="15"/>
  <c r="F63" i="15" s="1"/>
  <c r="F61" i="15"/>
  <c r="F60" i="18"/>
  <c r="F61" i="18"/>
  <c r="F62" i="18"/>
  <c r="F59" i="18"/>
  <c r="F63" i="18" s="1"/>
  <c r="D214" i="41"/>
  <c r="F63" i="14"/>
  <c r="F94" i="24"/>
  <c r="M282" i="41"/>
  <c r="G103" i="41"/>
  <c r="G118" i="41" s="1"/>
  <c r="F18" i="6"/>
  <c r="D208" i="41"/>
  <c r="AS208" i="41" s="1"/>
  <c r="AV178" i="41"/>
  <c r="D157" i="41"/>
  <c r="D218" i="41"/>
  <c r="F94" i="8"/>
  <c r="G155" i="41"/>
  <c r="G157" i="41" s="1"/>
  <c r="F29" i="6"/>
  <c r="F60" i="31"/>
  <c r="F62" i="31"/>
  <c r="F61" i="31"/>
  <c r="F59" i="31"/>
  <c r="F63" i="31"/>
  <c r="F90" i="20"/>
  <c r="F91" i="20"/>
  <c r="F93" i="20"/>
  <c r="F94" i="20"/>
  <c r="F92" i="20"/>
  <c r="F31" i="32"/>
  <c r="D228" i="41" s="1"/>
  <c r="F32" i="32"/>
  <c r="F30" i="32"/>
  <c r="F34" i="32" s="1"/>
  <c r="F33" i="32"/>
  <c r="F217" i="41"/>
  <c r="F220" i="41" s="1"/>
  <c r="E45" i="6"/>
  <c r="AN204" i="41"/>
  <c r="K204" i="41" s="1"/>
  <c r="AR204" i="41"/>
  <c r="L204" i="41" s="1"/>
  <c r="E150" i="41"/>
  <c r="E152" i="41" s="1"/>
  <c r="D28" i="6"/>
  <c r="D217" i="41"/>
  <c r="D219" i="41" s="1"/>
  <c r="C45" i="6"/>
  <c r="L178" i="41"/>
  <c r="AT178" i="41"/>
  <c r="M271" i="41"/>
  <c r="M274" i="41"/>
  <c r="M252" i="41"/>
  <c r="O219" i="41"/>
  <c r="M184" i="41"/>
  <c r="M187" i="41"/>
  <c r="M280" i="41"/>
  <c r="M281" i="41"/>
  <c r="M269" i="41"/>
  <c r="M270" i="41"/>
  <c r="M272" i="41"/>
  <c r="M247" i="41"/>
  <c r="M253" i="41"/>
  <c r="M250" i="41"/>
  <c r="M254" i="41"/>
  <c r="M192" i="41"/>
  <c r="M283" i="41"/>
  <c r="M277" i="41"/>
  <c r="M255" i="41"/>
  <c r="M182" i="41"/>
  <c r="AW255" i="41"/>
  <c r="AY254" i="41"/>
  <c r="AZ253" i="41"/>
  <c r="AZ252" i="41"/>
  <c r="AZ255" i="41"/>
  <c r="AX254" i="41"/>
  <c r="AY253" i="41"/>
  <c r="AY252" i="41"/>
  <c r="AZ251" i="41"/>
  <c r="AX250" i="41"/>
  <c r="AY255" i="41"/>
  <c r="AX251" i="41"/>
  <c r="AY250" i="41"/>
  <c r="AZ249" i="41"/>
  <c r="AW248" i="41"/>
  <c r="AX247" i="41"/>
  <c r="AX255" i="41"/>
  <c r="AZ254" i="41"/>
  <c r="AW251" i="41"/>
  <c r="AW250" i="41"/>
  <c r="AY249" i="41"/>
  <c r="AZ248" i="41"/>
  <c r="AW247" i="41"/>
  <c r="AX246" i="41"/>
  <c r="AY277" i="41"/>
  <c r="AY276" i="41"/>
  <c r="AZ275" i="41"/>
  <c r="AW274" i="41"/>
  <c r="AX273" i="41"/>
  <c r="AY272" i="41"/>
  <c r="AW254" i="41"/>
  <c r="AX253" i="41"/>
  <c r="AZ246" i="41"/>
  <c r="AX277" i="41"/>
  <c r="AX276" i="41"/>
  <c r="AY275" i="41"/>
  <c r="AX252" i="41"/>
  <c r="AX249" i="41"/>
  <c r="AY248" i="41"/>
  <c r="AZ247" i="41"/>
  <c r="AW246" i="41"/>
  <c r="AW275" i="41"/>
  <c r="AX274" i="41"/>
  <c r="AW253" i="41"/>
  <c r="N253" i="41" s="1"/>
  <c r="AW277" i="41"/>
  <c r="AX275" i="41"/>
  <c r="AY274" i="41"/>
  <c r="AZ273" i="41"/>
  <c r="AZ272" i="41"/>
  <c r="AX271" i="41"/>
  <c r="AY270" i="41"/>
  <c r="AZ269" i="41"/>
  <c r="AW268" i="41"/>
  <c r="AY251" i="41"/>
  <c r="AW249" i="41"/>
  <c r="AX248" i="41"/>
  <c r="AY247" i="41"/>
  <c r="AZ276" i="41"/>
  <c r="AY273" i="41"/>
  <c r="AX272" i="41"/>
  <c r="AW271" i="41"/>
  <c r="AX270" i="41"/>
  <c r="AY269" i="41"/>
  <c r="AZ268" i="41"/>
  <c r="AY246" i="41"/>
  <c r="AW276" i="41"/>
  <c r="AW273" i="41"/>
  <c r="AW272" i="41"/>
  <c r="N272" i="41" s="1"/>
  <c r="AY268" i="41"/>
  <c r="AW252" i="41"/>
  <c r="AZ250" i="41"/>
  <c r="AZ274" i="41"/>
  <c r="AW269" i="41"/>
  <c r="AX268" i="41"/>
  <c r="AZ277" i="41"/>
  <c r="AZ271" i="41"/>
  <c r="AY271" i="41"/>
  <c r="AZ270" i="41"/>
  <c r="AW270" i="41"/>
  <c r="AX269" i="41"/>
  <c r="AX280" i="41"/>
  <c r="AZ280" i="41"/>
  <c r="AZ281" i="41"/>
  <c r="AZ282" i="41"/>
  <c r="AZ283" i="41"/>
  <c r="AX283" i="41"/>
  <c r="AW281" i="41"/>
  <c r="AW282" i="41"/>
  <c r="AW283" i="41"/>
  <c r="AW280" i="41"/>
  <c r="AX281" i="41"/>
  <c r="AX282" i="41"/>
  <c r="AY280" i="41"/>
  <c r="AY281" i="41"/>
  <c r="AY283" i="41"/>
  <c r="AY282" i="41"/>
  <c r="AY188" i="41"/>
  <c r="AY182" i="41"/>
  <c r="AY184" i="41"/>
  <c r="AY193" i="41"/>
  <c r="AY187" i="41"/>
  <c r="AY178" i="41"/>
  <c r="AY89" i="41"/>
  <c r="AY55" i="41"/>
  <c r="AY192" i="41"/>
  <c r="AY177" i="41"/>
  <c r="AY110" i="41"/>
  <c r="AY88" i="41"/>
  <c r="AY54" i="41"/>
  <c r="AY183" i="41"/>
  <c r="AY109" i="41"/>
  <c r="AX192" i="41"/>
  <c r="AW187" i="41"/>
  <c r="AZ183" i="41"/>
  <c r="AW182" i="41"/>
  <c r="AW178" i="41"/>
  <c r="AW109" i="41"/>
  <c r="AZ89" i="41"/>
  <c r="AZ88" i="41"/>
  <c r="AW55" i="41"/>
  <c r="AX54" i="41"/>
  <c r="AZ182" i="41"/>
  <c r="AX110" i="41"/>
  <c r="AW89" i="41"/>
  <c r="AW88" i="41"/>
  <c r="AW193" i="41"/>
  <c r="AW184" i="41"/>
  <c r="AW177" i="41"/>
  <c r="AZ54" i="41"/>
  <c r="AW192" i="41"/>
  <c r="AZ184" i="41"/>
  <c r="AX183" i="41"/>
  <c r="AZ177" i="41"/>
  <c r="AZ110" i="41"/>
  <c r="AX89" i="41"/>
  <c r="AX88" i="41"/>
  <c r="AW54" i="41"/>
  <c r="AX188" i="41"/>
  <c r="AZ187" i="41"/>
  <c r="AX184" i="41"/>
  <c r="AX177" i="41"/>
  <c r="AZ109" i="41"/>
  <c r="AZ55" i="41"/>
  <c r="AZ192" i="41"/>
  <c r="AW188" i="41"/>
  <c r="AX187" i="41"/>
  <c r="AX182" i="41"/>
  <c r="AW110" i="41"/>
  <c r="AX109" i="41"/>
  <c r="AX55" i="41"/>
  <c r="AZ178" i="41"/>
  <c r="AX178" i="41"/>
  <c r="M178" i="41"/>
  <c r="M177" i="41"/>
  <c r="M249" i="41"/>
  <c r="M273" i="41"/>
  <c r="M268" i="41"/>
  <c r="M276" i="41"/>
  <c r="M251" i="41"/>
  <c r="F34" i="14"/>
  <c r="E191" i="41"/>
  <c r="E193" i="41" s="1"/>
  <c r="D38" i="6"/>
  <c r="F94" i="26"/>
  <c r="F191" i="41" s="1"/>
  <c r="F194" i="41" s="1"/>
  <c r="E38" i="6"/>
  <c r="G191" i="41"/>
  <c r="G193" i="41" s="1"/>
  <c r="F38" i="6"/>
  <c r="G186" i="41"/>
  <c r="G188" i="41" s="1"/>
  <c r="F37" i="6"/>
  <c r="F34" i="25"/>
  <c r="D191" i="41"/>
  <c r="C38" i="6"/>
  <c r="D192" i="41"/>
  <c r="AO192" i="41" s="1"/>
  <c r="L192" i="41" s="1"/>
  <c r="AV120" i="41"/>
  <c r="G130" i="41"/>
  <c r="G132" i="41" s="1"/>
  <c r="F24" i="6"/>
  <c r="F130" i="41"/>
  <c r="F133" i="41" s="1"/>
  <c r="E24" i="6"/>
  <c r="D130" i="41"/>
  <c r="C24" i="6"/>
  <c r="D131" i="41"/>
  <c r="AK131" i="41" s="1"/>
  <c r="K131" i="41" s="1"/>
  <c r="F123" i="17"/>
  <c r="G140" i="41" s="1"/>
  <c r="G142" i="41" s="1"/>
  <c r="F94" i="17"/>
  <c r="E26" i="6" s="1"/>
  <c r="E140" i="41"/>
  <c r="E142" i="41" s="1"/>
  <c r="D26" i="6"/>
  <c r="F34" i="17"/>
  <c r="D140" i="41" s="1"/>
  <c r="D141" i="41"/>
  <c r="F181" i="41"/>
  <c r="F184" i="41" s="1"/>
  <c r="E36" i="6"/>
  <c r="F34" i="24"/>
  <c r="D182" i="41"/>
  <c r="AO182" i="41" s="1"/>
  <c r="L182" i="41" s="1"/>
  <c r="D181" i="41"/>
  <c r="C36" i="6"/>
  <c r="D176" i="41"/>
  <c r="C35" i="6"/>
  <c r="D177" i="41"/>
  <c r="AC177" i="41" s="1"/>
  <c r="I177" i="41" s="1"/>
  <c r="F34" i="21"/>
  <c r="C33" i="6" s="1"/>
  <c r="F63" i="21"/>
  <c r="E166" i="41" s="1"/>
  <c r="E168" i="41" s="1"/>
  <c r="AH168" i="41" s="1"/>
  <c r="F123" i="21"/>
  <c r="F33" i="6" s="1"/>
  <c r="F94" i="21"/>
  <c r="E33" i="6" s="1"/>
  <c r="F60" i="8"/>
  <c r="F61" i="8"/>
  <c r="F59" i="8"/>
  <c r="F63" i="22"/>
  <c r="D34" i="6" s="1"/>
  <c r="F161" i="41"/>
  <c r="F164" i="41" s="1"/>
  <c r="E32" i="6"/>
  <c r="F123" i="8"/>
  <c r="F91" i="22"/>
  <c r="F92" i="22"/>
  <c r="F93" i="22"/>
  <c r="F90" i="22"/>
  <c r="F122" i="22"/>
  <c r="F119" i="22"/>
  <c r="F120" i="22"/>
  <c r="F121" i="22"/>
  <c r="E171" i="41"/>
  <c r="E173" i="41" s="1"/>
  <c r="F34" i="8"/>
  <c r="D161" i="41" s="1"/>
  <c r="F31" i="22"/>
  <c r="D162" i="41"/>
  <c r="AC162" i="41" s="1"/>
  <c r="I162" i="41" s="1"/>
  <c r="D48" i="41"/>
  <c r="D63" i="41" s="1"/>
  <c r="I63" i="41" s="1"/>
  <c r="C12" i="6"/>
  <c r="D103" i="41"/>
  <c r="D118" i="41" s="1"/>
  <c r="I118" i="41" s="1"/>
  <c r="C18" i="6"/>
  <c r="F197" i="41"/>
  <c r="F200" i="41" s="1"/>
  <c r="E41" i="6"/>
  <c r="F34" i="9"/>
  <c r="C41" i="6" s="1"/>
  <c r="D197" i="41"/>
  <c r="D198" i="41"/>
  <c r="AC198" i="41" s="1"/>
  <c r="F94" i="29"/>
  <c r="E44" i="6" s="1"/>
  <c r="F212" i="41"/>
  <c r="F215" i="41" s="1"/>
  <c r="AY215" i="41" s="1"/>
  <c r="E103" i="41"/>
  <c r="E118" i="41" s="1"/>
  <c r="D18" i="6"/>
  <c r="E48" i="41"/>
  <c r="E63" i="41" s="1"/>
  <c r="D12" i="6"/>
  <c r="F94" i="11"/>
  <c r="F85" i="41"/>
  <c r="F101" i="41" s="1"/>
  <c r="I101" i="41" s="1"/>
  <c r="E17" i="6"/>
  <c r="F63" i="13"/>
  <c r="D85" i="41"/>
  <c r="C17" i="6"/>
  <c r="AC87" i="41"/>
  <c r="I87" i="41" s="1"/>
  <c r="F30" i="41"/>
  <c r="F46" i="41" s="1"/>
  <c r="I46" i="41" s="1"/>
  <c r="E11" i="6"/>
  <c r="F63" i="12"/>
  <c r="D30" i="41"/>
  <c r="C11" i="6"/>
  <c r="AG36" i="41"/>
  <c r="J36" i="41" s="1"/>
  <c r="AC32" i="41"/>
  <c r="AT120" i="41"/>
  <c r="AS120" i="41"/>
  <c r="AU120" i="41"/>
  <c r="AV290" i="41"/>
  <c r="AU290" i="41"/>
  <c r="AT290" i="41"/>
  <c r="AS290" i="41"/>
  <c r="M265" i="41"/>
  <c r="M244" i="41"/>
  <c r="M245" i="41"/>
  <c r="O194" i="41"/>
  <c r="O146" i="41"/>
  <c r="M242" i="41"/>
  <c r="M264" i="41"/>
  <c r="M266" i="41"/>
  <c r="AX262" i="41"/>
  <c r="AX263" i="41"/>
  <c r="AX264" i="41"/>
  <c r="AX265" i="41"/>
  <c r="AX266" i="41"/>
  <c r="AY262" i="41"/>
  <c r="AZ262" i="41"/>
  <c r="AW263" i="41"/>
  <c r="AZ265" i="41"/>
  <c r="AY266" i="41"/>
  <c r="AY267" i="41"/>
  <c r="AY263" i="41"/>
  <c r="AW264" i="41"/>
  <c r="AZ266" i="41"/>
  <c r="AZ267" i="41"/>
  <c r="AZ263" i="41"/>
  <c r="AY264" i="41"/>
  <c r="AW265" i="41"/>
  <c r="AW267" i="41"/>
  <c r="AW262" i="41"/>
  <c r="AY265" i="41"/>
  <c r="AX267" i="41"/>
  <c r="AX242" i="41"/>
  <c r="AZ264" i="41"/>
  <c r="AW266" i="41"/>
  <c r="AZ242" i="41"/>
  <c r="AW243" i="41"/>
  <c r="AX244" i="41"/>
  <c r="AX245" i="41"/>
  <c r="AZ243" i="41"/>
  <c r="AZ244" i="41"/>
  <c r="AX243" i="41"/>
  <c r="AW244" i="41"/>
  <c r="AY245" i="41"/>
  <c r="AY242" i="41"/>
  <c r="AW245" i="41"/>
  <c r="AW242" i="41"/>
  <c r="AY243" i="41"/>
  <c r="AY244" i="41"/>
  <c r="AZ245" i="41"/>
  <c r="O228" i="41"/>
  <c r="O151" i="41"/>
  <c r="O131" i="41"/>
  <c r="O189" i="41"/>
  <c r="M243" i="41"/>
  <c r="M267" i="41"/>
  <c r="M262" i="41"/>
  <c r="M263" i="41"/>
  <c r="M240" i="41"/>
  <c r="P284" i="41"/>
  <c r="P286" i="41"/>
  <c r="P288" i="41"/>
  <c r="P285" i="41"/>
  <c r="P287" i="41"/>
  <c r="P289" i="41"/>
  <c r="M261" i="41"/>
  <c r="M259" i="41"/>
  <c r="O147" i="41"/>
  <c r="O284" i="41"/>
  <c r="O286" i="41"/>
  <c r="O288" i="41"/>
  <c r="O285" i="41"/>
  <c r="O287" i="41"/>
  <c r="O289" i="41"/>
  <c r="O225" i="41"/>
  <c r="O141" i="41"/>
  <c r="O230" i="41"/>
  <c r="O229" i="41"/>
  <c r="O157" i="41"/>
  <c r="O179" i="41"/>
  <c r="O158" i="41"/>
  <c r="O133" i="41"/>
  <c r="O220" i="41"/>
  <c r="O218" i="41"/>
  <c r="O153" i="41"/>
  <c r="AY258" i="41"/>
  <c r="AW259" i="41"/>
  <c r="AY260" i="41"/>
  <c r="AZ258" i="41"/>
  <c r="AX259" i="41"/>
  <c r="AZ260" i="41"/>
  <c r="AX261" i="41"/>
  <c r="AW258" i="41"/>
  <c r="AY259" i="41"/>
  <c r="AX258" i="41"/>
  <c r="AZ259" i="41"/>
  <c r="AX260" i="41"/>
  <c r="AZ261" i="41"/>
  <c r="AW261" i="41"/>
  <c r="AW260" i="41"/>
  <c r="AY261" i="41"/>
  <c r="O223" i="41"/>
  <c r="O152" i="41"/>
  <c r="O142" i="41"/>
  <c r="O148" i="41"/>
  <c r="O143" i="41"/>
  <c r="O132" i="41"/>
  <c r="O156" i="41"/>
  <c r="M237" i="41"/>
  <c r="M260" i="41"/>
  <c r="M258" i="41"/>
  <c r="M238" i="41"/>
  <c r="M236" i="41"/>
  <c r="M241" i="41"/>
  <c r="AZ236" i="41"/>
  <c r="AX237" i="41"/>
  <c r="AZ238" i="41"/>
  <c r="AX239" i="41"/>
  <c r="AX236" i="41"/>
  <c r="AZ237" i="41"/>
  <c r="AX238" i="41"/>
  <c r="AZ239" i="41"/>
  <c r="AY237" i="41"/>
  <c r="AW238" i="41"/>
  <c r="AY240" i="41"/>
  <c r="AW241" i="41"/>
  <c r="AY238" i="41"/>
  <c r="AW239" i="41"/>
  <c r="AZ240" i="41"/>
  <c r="AW236" i="41"/>
  <c r="AY239" i="41"/>
  <c r="AW240" i="41"/>
  <c r="AY241" i="41"/>
  <c r="AW237" i="41"/>
  <c r="AX241" i="41"/>
  <c r="AY236" i="41"/>
  <c r="AX240" i="41"/>
  <c r="AZ241" i="41"/>
  <c r="M239" i="41"/>
  <c r="AY24" i="41"/>
  <c r="D16" i="6"/>
  <c r="F63" i="11"/>
  <c r="E12" i="41" s="1"/>
  <c r="E27" i="41" s="1"/>
  <c r="F12" i="41"/>
  <c r="F28" i="41" s="1"/>
  <c r="E10" i="6"/>
  <c r="AY208" i="41"/>
  <c r="AY136" i="41"/>
  <c r="AY105" i="41"/>
  <c r="AY97" i="41"/>
  <c r="AY92" i="41"/>
  <c r="AY87" i="41"/>
  <c r="AY74" i="41"/>
  <c r="AY69" i="41"/>
  <c r="AY50" i="41"/>
  <c r="AY42" i="41"/>
  <c r="AY37" i="41"/>
  <c r="AY32" i="41"/>
  <c r="AY19" i="41"/>
  <c r="AY14" i="41"/>
  <c r="AY214" i="41"/>
  <c r="AY173" i="41"/>
  <c r="AY96" i="41"/>
  <c r="AY91" i="41"/>
  <c r="AY78" i="41"/>
  <c r="AY73" i="41"/>
  <c r="AY41" i="41"/>
  <c r="AY36" i="41"/>
  <c r="AY23" i="41"/>
  <c r="AY18" i="41"/>
  <c r="AY213" i="41"/>
  <c r="AY51" i="41"/>
  <c r="AY20" i="41"/>
  <c r="AY209" i="41"/>
  <c r="AY38" i="41"/>
  <c r="AY172" i="41"/>
  <c r="AY106" i="41"/>
  <c r="AY93" i="41"/>
  <c r="AY75" i="41"/>
  <c r="AY137" i="41"/>
  <c r="AW97" i="41"/>
  <c r="AZ24" i="41"/>
  <c r="AZ97" i="41"/>
  <c r="AX97" i="41"/>
  <c r="AX24" i="41"/>
  <c r="AW24" i="41"/>
  <c r="AY210" i="41"/>
  <c r="AZ215" i="41"/>
  <c r="AW213" i="41"/>
  <c r="AW214" i="41"/>
  <c r="AZ213" i="41"/>
  <c r="AW215" i="41"/>
  <c r="AX213" i="41"/>
  <c r="AW210" i="41"/>
  <c r="AX208" i="41"/>
  <c r="AX210" i="41"/>
  <c r="AZ208" i="41"/>
  <c r="AX215" i="41"/>
  <c r="AW174" i="41"/>
  <c r="AZ210" i="41"/>
  <c r="AW173" i="41"/>
  <c r="AZ172" i="41"/>
  <c r="AZ174" i="41"/>
  <c r="AW138" i="41"/>
  <c r="AX174" i="41"/>
  <c r="AX172" i="41"/>
  <c r="AZ138" i="41"/>
  <c r="AX138" i="41"/>
  <c r="AX106" i="41"/>
  <c r="AW105" i="41"/>
  <c r="AW96" i="41"/>
  <c r="AW93" i="41"/>
  <c r="AW106" i="41"/>
  <c r="AX105" i="41"/>
  <c r="AZ93" i="41"/>
  <c r="AZ136" i="41"/>
  <c r="AW137" i="41"/>
  <c r="AW208" i="41"/>
  <c r="AW172" i="41"/>
  <c r="AX136" i="41"/>
  <c r="AZ96" i="41"/>
  <c r="AX93" i="41"/>
  <c r="AW92" i="41"/>
  <c r="AW91" i="41"/>
  <c r="AZ87" i="41"/>
  <c r="AZ106" i="41"/>
  <c r="AZ105" i="41"/>
  <c r="AX96" i="41"/>
  <c r="AZ92" i="41"/>
  <c r="AZ91" i="41"/>
  <c r="AX92" i="41"/>
  <c r="AX91" i="41"/>
  <c r="AW87" i="41"/>
  <c r="AW78" i="41"/>
  <c r="AW75" i="41"/>
  <c r="AW74" i="41"/>
  <c r="AZ69" i="41"/>
  <c r="AX50" i="41"/>
  <c r="AZ75" i="41"/>
  <c r="AZ73" i="41"/>
  <c r="AZ51" i="41"/>
  <c r="AZ50" i="41"/>
  <c r="AX42" i="41"/>
  <c r="AX87" i="41"/>
  <c r="AX75" i="41"/>
  <c r="AX69" i="41"/>
  <c r="AX51" i="41"/>
  <c r="AW42" i="41"/>
  <c r="AW41" i="41"/>
  <c r="AW38" i="41"/>
  <c r="AW37" i="41"/>
  <c r="AW36" i="41"/>
  <c r="AX78" i="41"/>
  <c r="AX74" i="41"/>
  <c r="AX41" i="41"/>
  <c r="AX38" i="41"/>
  <c r="AZ74" i="41"/>
  <c r="AW69" i="41"/>
  <c r="AW50" i="41"/>
  <c r="AZ41" i="41"/>
  <c r="AZ36" i="41"/>
  <c r="AZ32" i="41"/>
  <c r="AW20" i="41"/>
  <c r="AX19" i="41"/>
  <c r="AZ18" i="41"/>
  <c r="AZ78" i="41"/>
  <c r="AX32" i="41"/>
  <c r="AW19" i="41"/>
  <c r="AX73" i="41"/>
  <c r="AW51" i="41"/>
  <c r="AZ37" i="41"/>
  <c r="AW32" i="41"/>
  <c r="AX23" i="41"/>
  <c r="AZ20" i="41"/>
  <c r="AW18" i="41"/>
  <c r="AZ38" i="41"/>
  <c r="AX37" i="41"/>
  <c r="AW23" i="41"/>
  <c r="AX20" i="41"/>
  <c r="AZ19" i="41"/>
  <c r="AZ42" i="41"/>
  <c r="AX36" i="41"/>
  <c r="AZ23" i="41"/>
  <c r="AX18" i="41"/>
  <c r="AX214" i="41"/>
  <c r="AZ214" i="41"/>
  <c r="AX209" i="41"/>
  <c r="AZ209" i="41"/>
  <c r="F63" i="16"/>
  <c r="E135" i="41" s="1"/>
  <c r="E137" i="41" s="1"/>
  <c r="F123" i="16"/>
  <c r="G135" i="41" s="1"/>
  <c r="G137" i="41" s="1"/>
  <c r="F33" i="1"/>
  <c r="F32" i="1"/>
  <c r="D126" i="41" s="1"/>
  <c r="AC126" i="41"/>
  <c r="F31" i="16"/>
  <c r="F33" i="16"/>
  <c r="F32" i="16"/>
  <c r="F30" i="16"/>
  <c r="E125" i="41"/>
  <c r="E127" i="41" s="1"/>
  <c r="D23" i="6"/>
  <c r="F94" i="1"/>
  <c r="F125" i="41" s="1"/>
  <c r="F128" i="41" s="1"/>
  <c r="F94" i="16"/>
  <c r="F135" i="41" s="1"/>
  <c r="F138" i="41" s="1"/>
  <c r="F123" i="1"/>
  <c r="G125" i="41" s="1"/>
  <c r="G127" i="41" s="1"/>
  <c r="F94" i="10"/>
  <c r="F67" i="41" s="1"/>
  <c r="F83" i="41" s="1"/>
  <c r="I83" i="41" s="1"/>
  <c r="J30" i="33"/>
  <c r="J31" i="33" s="1"/>
  <c r="AB32" i="33"/>
  <c r="AB33" i="33" s="1"/>
  <c r="AB35" i="33" s="1"/>
  <c r="V30" i="33"/>
  <c r="V31" i="33" s="1"/>
  <c r="Y36" i="33"/>
  <c r="Y38" i="33"/>
  <c r="Y37" i="33"/>
  <c r="F27" i="10"/>
  <c r="F28" i="10" s="1"/>
  <c r="F30" i="10" s="1"/>
  <c r="S30" i="33"/>
  <c r="S31" i="33" s="1"/>
  <c r="G30" i="33"/>
  <c r="G31" i="33" s="1"/>
  <c r="M28" i="33"/>
  <c r="M29" i="33" s="1"/>
  <c r="P28" i="33"/>
  <c r="P29" i="33" s="1"/>
  <c r="AE38" i="33"/>
  <c r="AE37" i="33"/>
  <c r="AE36" i="33"/>
  <c r="AH30" i="33"/>
  <c r="AH31" i="33" s="1"/>
  <c r="AH32" i="33" s="1"/>
  <c r="AH33" i="33" s="1"/>
  <c r="AH35" i="33" s="1"/>
  <c r="F123" i="12"/>
  <c r="G30" i="41" s="1"/>
  <c r="G45" i="41" s="1"/>
  <c r="F123" i="13"/>
  <c r="E30" i="41"/>
  <c r="E45" i="41" s="1"/>
  <c r="D11" i="6"/>
  <c r="E85" i="41"/>
  <c r="E100" i="41" s="1"/>
  <c r="D17" i="6"/>
  <c r="M199" i="41"/>
  <c r="M205" i="41"/>
  <c r="M26" i="41"/>
  <c r="M167" i="41"/>
  <c r="M209" i="41"/>
  <c r="M200" i="41"/>
  <c r="J27" i="41"/>
  <c r="M18" i="41"/>
  <c r="M36" i="41"/>
  <c r="M119" i="41"/>
  <c r="M128" i="41"/>
  <c r="M204" i="41"/>
  <c r="K27" i="41"/>
  <c r="M19" i="41"/>
  <c r="M77" i="41"/>
  <c r="M126" i="41"/>
  <c r="M136" i="41"/>
  <c r="M33" i="41"/>
  <c r="M73" i="41"/>
  <c r="M62" i="41"/>
  <c r="M71" i="41"/>
  <c r="M75" i="41"/>
  <c r="M82" i="41"/>
  <c r="M91" i="41"/>
  <c r="M96" i="41"/>
  <c r="M114" i="41"/>
  <c r="M215" i="41"/>
  <c r="M208" i="41"/>
  <c r="M42" i="41"/>
  <c r="M127" i="41"/>
  <c r="M162" i="41"/>
  <c r="M169" i="41"/>
  <c r="M74" i="41"/>
  <c r="M44" i="41"/>
  <c r="M58" i="41"/>
  <c r="M106" i="41"/>
  <c r="M79" i="41"/>
  <c r="M111" i="41"/>
  <c r="M115" i="41"/>
  <c r="M203" i="41"/>
  <c r="M163" i="41"/>
  <c r="M210" i="41"/>
  <c r="M198" i="41"/>
  <c r="M23" i="41"/>
  <c r="M14" i="41"/>
  <c r="M24" i="41"/>
  <c r="M15" i="41"/>
  <c r="M37" i="41"/>
  <c r="M97" i="41"/>
  <c r="M40" i="41"/>
  <c r="M46" i="41"/>
  <c r="M54" i="41"/>
  <c r="M59" i="41"/>
  <c r="M69" i="41"/>
  <c r="M92" i="41"/>
  <c r="M83" i="41"/>
  <c r="M105" i="41"/>
  <c r="M93" i="41"/>
  <c r="M99" i="41"/>
  <c r="M109" i="41"/>
  <c r="M117" i="41"/>
  <c r="M113" i="41"/>
  <c r="M118" i="41"/>
  <c r="M164" i="41"/>
  <c r="M45" i="41"/>
  <c r="M51" i="41"/>
  <c r="M56" i="41"/>
  <c r="M101" i="41"/>
  <c r="M172" i="41"/>
  <c r="M22" i="41"/>
  <c r="M38" i="41"/>
  <c r="M52" i="41"/>
  <c r="M64" i="41"/>
  <c r="M87" i="41"/>
  <c r="M88" i="41"/>
  <c r="M138" i="41"/>
  <c r="M168" i="41"/>
  <c r="M213" i="41"/>
  <c r="M214" i="41"/>
  <c r="M28" i="41"/>
  <c r="M16" i="41"/>
  <c r="M27" i="41"/>
  <c r="M20" i="41"/>
  <c r="M34" i="41"/>
  <c r="M32" i="41"/>
  <c r="M89" i="41"/>
  <c r="M41" i="41"/>
  <c r="M50" i="41"/>
  <c r="M55" i="41"/>
  <c r="M60" i="41"/>
  <c r="M70" i="41"/>
  <c r="M63" i="41"/>
  <c r="M78" i="41"/>
  <c r="M81" i="41"/>
  <c r="M107" i="41"/>
  <c r="M95" i="41"/>
  <c r="M100" i="41"/>
  <c r="M110" i="41"/>
  <c r="P133" i="41"/>
  <c r="P132" i="41"/>
  <c r="P131" i="41"/>
  <c r="P148" i="41"/>
  <c r="P158" i="41"/>
  <c r="P147" i="41"/>
  <c r="P157" i="41"/>
  <c r="P142" i="41"/>
  <c r="P151" i="41"/>
  <c r="P194" i="41"/>
  <c r="P220" i="41"/>
  <c r="P230" i="41"/>
  <c r="P153" i="41"/>
  <c r="P156" i="41"/>
  <c r="P224" i="41"/>
  <c r="P223" i="41"/>
  <c r="P141" i="41"/>
  <c r="P152" i="41"/>
  <c r="P189" i="41"/>
  <c r="P218" i="41"/>
  <c r="P229" i="41"/>
  <c r="P179" i="41"/>
  <c r="P225" i="41"/>
  <c r="P228" i="41"/>
  <c r="P143" i="41"/>
  <c r="P219" i="41"/>
  <c r="P146" i="41"/>
  <c r="Q8" i="41"/>
  <c r="N119" i="41"/>
  <c r="AX14" i="41"/>
  <c r="AZ14" i="41"/>
  <c r="AW14" i="41"/>
  <c r="BA7" i="41"/>
  <c r="G227" i="41" l="1"/>
  <c r="G229" i="41" s="1"/>
  <c r="F47" i="6"/>
  <c r="D227" i="41"/>
  <c r="D229" i="41" s="1"/>
  <c r="C47" i="6"/>
  <c r="F145" i="41"/>
  <c r="F148" i="41" s="1"/>
  <c r="E27" i="6"/>
  <c r="F176" i="41"/>
  <c r="F179" i="41" s="1"/>
  <c r="E35" i="6"/>
  <c r="E145" i="41"/>
  <c r="E147" i="41" s="1"/>
  <c r="D27" i="6"/>
  <c r="G150" i="41"/>
  <c r="G152" i="41" s="1"/>
  <c r="F28" i="6"/>
  <c r="E212" i="41"/>
  <c r="E214" i="41" s="1"/>
  <c r="D44" i="6"/>
  <c r="C26" i="6"/>
  <c r="N270" i="41"/>
  <c r="N249" i="41"/>
  <c r="N254" i="41"/>
  <c r="AL199" i="41"/>
  <c r="K199" i="41" s="1"/>
  <c r="AH199" i="41"/>
  <c r="AP199" i="41"/>
  <c r="D209" i="41"/>
  <c r="AW209" i="41" s="1"/>
  <c r="F166" i="41"/>
  <c r="F169" i="41" s="1"/>
  <c r="F26" i="6"/>
  <c r="D147" i="41"/>
  <c r="AN199" i="41"/>
  <c r="AJ199" i="41"/>
  <c r="AR199" i="41"/>
  <c r="N177" i="41"/>
  <c r="N250" i="41"/>
  <c r="F155" i="41"/>
  <c r="F158" i="41" s="1"/>
  <c r="E29" i="6"/>
  <c r="E222" i="41"/>
  <c r="E224" i="41" s="1"/>
  <c r="D46" i="6"/>
  <c r="D24" i="6"/>
  <c r="E130" i="41"/>
  <c r="E132" i="41" s="1"/>
  <c r="BA255" i="41"/>
  <c r="BC254" i="41"/>
  <c r="BD253" i="41"/>
  <c r="BD252" i="41"/>
  <c r="BD255" i="41"/>
  <c r="BB254" i="41"/>
  <c r="BC253" i="41"/>
  <c r="BC252" i="41"/>
  <c r="BD251" i="41"/>
  <c r="BB250" i="41"/>
  <c r="BC249" i="41"/>
  <c r="BA254" i="41"/>
  <c r="BB253" i="41"/>
  <c r="BB252" i="41"/>
  <c r="BC251" i="41"/>
  <c r="BD250" i="41"/>
  <c r="BA248" i="41"/>
  <c r="BB247" i="41"/>
  <c r="BA253" i="41"/>
  <c r="BA252" i="41"/>
  <c r="O252" i="41" s="1"/>
  <c r="BB251" i="41"/>
  <c r="BC250" i="41"/>
  <c r="BD249" i="41"/>
  <c r="BD248" i="41"/>
  <c r="BA247" i="41"/>
  <c r="BB246" i="41"/>
  <c r="BC277" i="41"/>
  <c r="BC276" i="41"/>
  <c r="BD275" i="41"/>
  <c r="BA274" i="41"/>
  <c r="BB273" i="41"/>
  <c r="BC272" i="41"/>
  <c r="BC255" i="41"/>
  <c r="BB249" i="41"/>
  <c r="BC248" i="41"/>
  <c r="BD247" i="41"/>
  <c r="BD277" i="41"/>
  <c r="BD276" i="41"/>
  <c r="BA251" i="41"/>
  <c r="BA250" i="41"/>
  <c r="O250" i="41" s="1"/>
  <c r="BC246" i="41"/>
  <c r="BA277" i="41"/>
  <c r="BA276" i="41"/>
  <c r="BB275" i="41"/>
  <c r="BC274" i="41"/>
  <c r="BA249" i="41"/>
  <c r="O249" i="41" s="1"/>
  <c r="BB248" i="41"/>
  <c r="BC247" i="41"/>
  <c r="BD246" i="41"/>
  <c r="BB276" i="41"/>
  <c r="BB271" i="41"/>
  <c r="BC270" i="41"/>
  <c r="BD269" i="41"/>
  <c r="BA268" i="41"/>
  <c r="BC275" i="41"/>
  <c r="BC273" i="41"/>
  <c r="BB272" i="41"/>
  <c r="BD254" i="41"/>
  <c r="BA246" i="41"/>
  <c r="BD274" i="41"/>
  <c r="BD273" i="41"/>
  <c r="BD272" i="41"/>
  <c r="BA271" i="41"/>
  <c r="BB270" i="41"/>
  <c r="BC269" i="41"/>
  <c r="BD268" i="41"/>
  <c r="BB255" i="41"/>
  <c r="BB277" i="41"/>
  <c r="BB274" i="41"/>
  <c r="BD271" i="41"/>
  <c r="BA273" i="41"/>
  <c r="BC271" i="41"/>
  <c r="BD270" i="41"/>
  <c r="BA270" i="41"/>
  <c r="BB269" i="41"/>
  <c r="BC268" i="41"/>
  <c r="BA275" i="41"/>
  <c r="O275" i="41" s="1"/>
  <c r="BA272" i="41"/>
  <c r="BA269" i="41"/>
  <c r="BB268" i="41"/>
  <c r="BB280" i="41"/>
  <c r="BD281" i="41"/>
  <c r="BD282" i="41"/>
  <c r="BD283" i="41"/>
  <c r="BA280" i="41"/>
  <c r="BA281" i="41"/>
  <c r="BA282" i="41"/>
  <c r="BA283" i="41"/>
  <c r="BC280" i="41"/>
  <c r="BB281" i="41"/>
  <c r="BB282" i="41"/>
  <c r="BB283" i="41"/>
  <c r="BC282" i="41"/>
  <c r="BD280" i="41"/>
  <c r="BC281" i="41"/>
  <c r="BC283" i="41"/>
  <c r="BC188" i="41"/>
  <c r="BC178" i="41"/>
  <c r="BC89" i="41"/>
  <c r="BC55" i="41"/>
  <c r="BC193" i="41"/>
  <c r="BC187" i="41"/>
  <c r="BC177" i="41"/>
  <c r="BC110" i="41"/>
  <c r="BC88" i="41"/>
  <c r="BC54" i="41"/>
  <c r="BC192" i="41"/>
  <c r="BC183" i="41"/>
  <c r="BC109" i="41"/>
  <c r="BC182" i="41"/>
  <c r="BD192" i="41"/>
  <c r="BB188" i="41"/>
  <c r="BB187" i="41"/>
  <c r="BA184" i="41"/>
  <c r="BB182" i="41"/>
  <c r="BA177" i="41"/>
  <c r="BA110" i="41"/>
  <c r="BB109" i="41"/>
  <c r="BB55" i="41"/>
  <c r="BD54" i="41"/>
  <c r="BD184" i="41"/>
  <c r="BD177" i="41"/>
  <c r="BB88" i="41"/>
  <c r="BA54" i="41"/>
  <c r="BD187" i="41"/>
  <c r="BA183" i="41"/>
  <c r="BD182" i="41"/>
  <c r="BA178" i="41"/>
  <c r="BB110" i="41"/>
  <c r="BD109" i="41"/>
  <c r="BD55" i="41"/>
  <c r="BB192" i="41"/>
  <c r="BA188" i="41"/>
  <c r="BA187" i="41"/>
  <c r="BA182" i="41"/>
  <c r="O182" i="41" s="1"/>
  <c r="BA109" i="41"/>
  <c r="BD89" i="41"/>
  <c r="BD88" i="41"/>
  <c r="BA55" i="41"/>
  <c r="BB54" i="41"/>
  <c r="BA193" i="41"/>
  <c r="BA192" i="41"/>
  <c r="BD110" i="41"/>
  <c r="BB89" i="41"/>
  <c r="BB184" i="41"/>
  <c r="BB177" i="41"/>
  <c r="BA89" i="41"/>
  <c r="BA88" i="41"/>
  <c r="BD178" i="41"/>
  <c r="BB178" i="41"/>
  <c r="N178" i="41"/>
  <c r="N184" i="41"/>
  <c r="N182" i="41"/>
  <c r="N281" i="41"/>
  <c r="N273" i="41"/>
  <c r="N247" i="41"/>
  <c r="N251" i="41"/>
  <c r="N248" i="41"/>
  <c r="BB183" i="41"/>
  <c r="N192" i="41"/>
  <c r="N280" i="41"/>
  <c r="N252" i="41"/>
  <c r="N276" i="41"/>
  <c r="N275" i="41"/>
  <c r="N282" i="41"/>
  <c r="N274" i="41"/>
  <c r="BD183" i="41"/>
  <c r="N187" i="41"/>
  <c r="N283" i="41"/>
  <c r="N269" i="41"/>
  <c r="N271" i="41"/>
  <c r="N268" i="41"/>
  <c r="N277" i="41"/>
  <c r="N246" i="41"/>
  <c r="N255" i="41"/>
  <c r="AX193" i="41"/>
  <c r="BB193" i="41"/>
  <c r="BD193" i="41"/>
  <c r="AZ193" i="41"/>
  <c r="AR188" i="41"/>
  <c r="L188" i="41" s="1"/>
  <c r="AZ188" i="41"/>
  <c r="N188" i="41" s="1"/>
  <c r="BD188" i="41"/>
  <c r="AV188" i="41"/>
  <c r="M188" i="41" s="1"/>
  <c r="D186" i="41"/>
  <c r="D188" i="41" s="1"/>
  <c r="C37" i="6"/>
  <c r="D193" i="41"/>
  <c r="AS193" i="41" s="1"/>
  <c r="M193" i="41" s="1"/>
  <c r="AE164" i="41"/>
  <c r="I164" i="41" s="1"/>
  <c r="AI164" i="41"/>
  <c r="J164" i="41" s="1"/>
  <c r="AX173" i="41"/>
  <c r="AP173" i="41"/>
  <c r="AT173" i="41"/>
  <c r="AT231" i="41" s="1"/>
  <c r="AT292" i="41" s="1"/>
  <c r="AQ169" i="41"/>
  <c r="L169" i="41" s="1"/>
  <c r="AE169" i="41"/>
  <c r="I169" i="41" s="1"/>
  <c r="AI169" i="41"/>
  <c r="J169" i="41" s="1"/>
  <c r="AM169" i="41"/>
  <c r="K169" i="41" s="1"/>
  <c r="BC184" i="41"/>
  <c r="AY120" i="41"/>
  <c r="AX120" i="41"/>
  <c r="D132" i="41"/>
  <c r="AO132" i="41" s="1"/>
  <c r="F140" i="41"/>
  <c r="F143" i="41" s="1"/>
  <c r="D142" i="41"/>
  <c r="AJ17" i="49"/>
  <c r="AJ33" i="49" s="1"/>
  <c r="D33" i="6"/>
  <c r="G166" i="41"/>
  <c r="G168" i="41" s="1"/>
  <c r="D183" i="41"/>
  <c r="D178" i="41"/>
  <c r="AC178" i="41" s="1"/>
  <c r="I178" i="41" s="1"/>
  <c r="D166" i="41"/>
  <c r="D168" i="41" s="1"/>
  <c r="AC168" i="41" s="1"/>
  <c r="I168" i="41" s="1"/>
  <c r="AK168" i="41"/>
  <c r="AG168" i="41"/>
  <c r="AL168" i="41"/>
  <c r="AP168" i="41"/>
  <c r="AR168" i="41"/>
  <c r="F63" i="8"/>
  <c r="E161" i="41" s="1"/>
  <c r="E163" i="41" s="1"/>
  <c r="AH163" i="41" s="1"/>
  <c r="F94" i="22"/>
  <c r="E34" i="6" s="1"/>
  <c r="AM164" i="41"/>
  <c r="K164" i="41" s="1"/>
  <c r="AQ164" i="41"/>
  <c r="L164" i="41" s="1"/>
  <c r="G161" i="41"/>
  <c r="G163" i="41" s="1"/>
  <c r="AJ163" i="41" s="1"/>
  <c r="F32" i="6"/>
  <c r="F123" i="22"/>
  <c r="G171" i="41" s="1"/>
  <c r="G173" i="41" s="1"/>
  <c r="F34" i="22"/>
  <c r="C34" i="6" s="1"/>
  <c r="C32" i="6"/>
  <c r="D172" i="41"/>
  <c r="D163" i="41"/>
  <c r="AE200" i="41"/>
  <c r="AI200" i="41"/>
  <c r="AM200" i="41"/>
  <c r="AQ200" i="41"/>
  <c r="I198" i="41"/>
  <c r="D199" i="41"/>
  <c r="AC199" i="41" s="1"/>
  <c r="I199" i="41" s="1"/>
  <c r="D10" i="6"/>
  <c r="D100" i="41"/>
  <c r="I100" i="41" s="1"/>
  <c r="C13" i="6"/>
  <c r="AC120" i="41"/>
  <c r="I32" i="41"/>
  <c r="D45" i="41"/>
  <c r="I45" i="41" s="1"/>
  <c r="AZ120" i="41"/>
  <c r="AY290" i="41"/>
  <c r="AX290" i="41"/>
  <c r="AZ290" i="41"/>
  <c r="AW290" i="41"/>
  <c r="E120" i="41"/>
  <c r="I28" i="41"/>
  <c r="F120" i="41"/>
  <c r="N265" i="41"/>
  <c r="N242" i="41"/>
  <c r="N244" i="41"/>
  <c r="N266" i="41"/>
  <c r="N264" i="41"/>
  <c r="N245" i="41"/>
  <c r="N262" i="41"/>
  <c r="N263" i="41"/>
  <c r="BB262" i="41"/>
  <c r="BB263" i="41"/>
  <c r="BB264" i="41"/>
  <c r="BB265" i="41"/>
  <c r="BB266" i="41"/>
  <c r="BC262" i="41"/>
  <c r="BD262" i="41"/>
  <c r="BA262" i="41"/>
  <c r="BC263" i="41"/>
  <c r="BA264" i="41"/>
  <c r="BD266" i="41"/>
  <c r="BC267" i="41"/>
  <c r="BD263" i="41"/>
  <c r="BC264" i="41"/>
  <c r="BA265" i="41"/>
  <c r="BD267" i="41"/>
  <c r="BD264" i="41"/>
  <c r="BC265" i="41"/>
  <c r="BA266" i="41"/>
  <c r="BA267" i="41"/>
  <c r="BA263" i="41"/>
  <c r="BD265" i="41"/>
  <c r="BB267" i="41"/>
  <c r="BD242" i="41"/>
  <c r="BA243" i="41"/>
  <c r="BB244" i="41"/>
  <c r="BA242" i="41"/>
  <c r="BB243" i="41"/>
  <c r="BA244" i="41"/>
  <c r="BB245" i="41"/>
  <c r="BA245" i="41"/>
  <c r="BC266" i="41"/>
  <c r="BB242" i="41"/>
  <c r="BC243" i="41"/>
  <c r="BC244" i="41"/>
  <c r="BC245" i="41"/>
  <c r="BC242" i="41"/>
  <c r="BD243" i="41"/>
  <c r="BD244" i="41"/>
  <c r="BD245" i="41"/>
  <c r="N243" i="41"/>
  <c r="N267" i="41"/>
  <c r="N260" i="41"/>
  <c r="N240" i="41"/>
  <c r="N239" i="41"/>
  <c r="N238" i="41"/>
  <c r="Q285" i="41"/>
  <c r="Q287" i="41"/>
  <c r="Q289" i="41"/>
  <c r="Q284" i="41"/>
  <c r="Q286" i="41"/>
  <c r="Q288" i="41"/>
  <c r="N258" i="41"/>
  <c r="BC258" i="41"/>
  <c r="BA259" i="41"/>
  <c r="BC260" i="41"/>
  <c r="BD258" i="41"/>
  <c r="BB259" i="41"/>
  <c r="BD260" i="41"/>
  <c r="BB261" i="41"/>
  <c r="BA258" i="41"/>
  <c r="BC259" i="41"/>
  <c r="BB258" i="41"/>
  <c r="BD259" i="41"/>
  <c r="BB260" i="41"/>
  <c r="BD261" i="41"/>
  <c r="BA260" i="41"/>
  <c r="BA261" i="41"/>
  <c r="BC261" i="41"/>
  <c r="N261" i="41"/>
  <c r="N259" i="41"/>
  <c r="BD236" i="41"/>
  <c r="BB237" i="41"/>
  <c r="BD238" i="41"/>
  <c r="BB239" i="41"/>
  <c r="BB236" i="41"/>
  <c r="BD237" i="41"/>
  <c r="BB238" i="41"/>
  <c r="BD239" i="41"/>
  <c r="BA236" i="41"/>
  <c r="BC239" i="41"/>
  <c r="BC240" i="41"/>
  <c r="BA241" i="41"/>
  <c r="BC236" i="41"/>
  <c r="BA237" i="41"/>
  <c r="BD240" i="41"/>
  <c r="BC237" i="41"/>
  <c r="BA238" i="41"/>
  <c r="BA240" i="41"/>
  <c r="BC241" i="41"/>
  <c r="BA239" i="41"/>
  <c r="BD241" i="41"/>
  <c r="BC238" i="41"/>
  <c r="BB240" i="41"/>
  <c r="BB241" i="41"/>
  <c r="N237" i="41"/>
  <c r="N236" i="41"/>
  <c r="N241" i="41"/>
  <c r="E13" i="6"/>
  <c r="BC214" i="41"/>
  <c r="BC173" i="41"/>
  <c r="BC96" i="41"/>
  <c r="BC91" i="41"/>
  <c r="BC78" i="41"/>
  <c r="BC73" i="41"/>
  <c r="BC41" i="41"/>
  <c r="BC36" i="41"/>
  <c r="BC23" i="41"/>
  <c r="BC18" i="41"/>
  <c r="BC213" i="41"/>
  <c r="BC172" i="41"/>
  <c r="BC208" i="41"/>
  <c r="BC93" i="41"/>
  <c r="BC87" i="41"/>
  <c r="BC38" i="41"/>
  <c r="BC32" i="41"/>
  <c r="BC24" i="41"/>
  <c r="BC137" i="41"/>
  <c r="BC106" i="41"/>
  <c r="BC92" i="41"/>
  <c r="BC51" i="41"/>
  <c r="BC37" i="41"/>
  <c r="BC136" i="41"/>
  <c r="BC105" i="41"/>
  <c r="BC97" i="41"/>
  <c r="BC75" i="41"/>
  <c r="BC69" i="41"/>
  <c r="BC50" i="41"/>
  <c r="BC42" i="41"/>
  <c r="BC20" i="41"/>
  <c r="BC14" i="41"/>
  <c r="BC209" i="41"/>
  <c r="BC19" i="41"/>
  <c r="BC74" i="41"/>
  <c r="BB97" i="41"/>
  <c r="BB24" i="41"/>
  <c r="BA97" i="41"/>
  <c r="BD24" i="41"/>
  <c r="BA24" i="41"/>
  <c r="BD97" i="41"/>
  <c r="BC215" i="41"/>
  <c r="BC210" i="41"/>
  <c r="AY138" i="41"/>
  <c r="BC138" i="41"/>
  <c r="AQ128" i="41"/>
  <c r="AM128" i="41"/>
  <c r="BD215" i="41"/>
  <c r="BA213" i="41"/>
  <c r="BD213" i="41"/>
  <c r="BA215" i="41"/>
  <c r="BA214" i="41"/>
  <c r="BB213" i="41"/>
  <c r="BA210" i="41"/>
  <c r="BA209" i="41"/>
  <c r="BB208" i="41"/>
  <c r="BB215" i="41"/>
  <c r="BD210" i="41"/>
  <c r="BD208" i="41"/>
  <c r="BA174" i="41"/>
  <c r="BA173" i="41"/>
  <c r="BA208" i="41"/>
  <c r="BD172" i="41"/>
  <c r="BA138" i="41"/>
  <c r="BB210" i="41"/>
  <c r="BD138" i="41"/>
  <c r="BA136" i="41"/>
  <c r="BB174" i="41"/>
  <c r="BA172" i="41"/>
  <c r="BB138" i="41"/>
  <c r="BB106" i="41"/>
  <c r="BA105" i="41"/>
  <c r="BA96" i="41"/>
  <c r="BA93" i="41"/>
  <c r="BB136" i="41"/>
  <c r="BD96" i="41"/>
  <c r="BB172" i="41"/>
  <c r="BD174" i="41"/>
  <c r="BD136" i="41"/>
  <c r="BD106" i="41"/>
  <c r="BD105" i="41"/>
  <c r="BA106" i="41"/>
  <c r="BB105" i="41"/>
  <c r="BD93" i="41"/>
  <c r="BA92" i="41"/>
  <c r="BA91" i="41"/>
  <c r="BD87" i="41"/>
  <c r="BD92" i="41"/>
  <c r="BD91" i="41"/>
  <c r="BB96" i="41"/>
  <c r="BB92" i="41"/>
  <c r="BB91" i="41"/>
  <c r="BA87" i="41"/>
  <c r="BA78" i="41"/>
  <c r="BA75" i="41"/>
  <c r="BA74" i="41"/>
  <c r="BD69" i="41"/>
  <c r="BB50" i="41"/>
  <c r="BB87" i="41"/>
  <c r="BD78" i="41"/>
  <c r="BD74" i="41"/>
  <c r="BB37" i="41"/>
  <c r="BB78" i="41"/>
  <c r="BB74" i="41"/>
  <c r="BD51" i="41"/>
  <c r="BD50" i="41"/>
  <c r="BA42" i="41"/>
  <c r="BA41" i="41"/>
  <c r="BA38" i="41"/>
  <c r="BA37" i="41"/>
  <c r="BA36" i="41"/>
  <c r="BB75" i="41"/>
  <c r="BB73" i="41"/>
  <c r="BA69" i="41"/>
  <c r="BA51" i="41"/>
  <c r="BA50" i="41"/>
  <c r="BB42" i="41"/>
  <c r="BB41" i="41"/>
  <c r="BB38" i="41"/>
  <c r="BB69" i="41"/>
  <c r="BA18" i="41"/>
  <c r="BD42" i="41"/>
  <c r="BA23" i="41"/>
  <c r="BB20" i="41"/>
  <c r="BD19" i="41"/>
  <c r="BB93" i="41"/>
  <c r="BD73" i="41"/>
  <c r="BB51" i="41"/>
  <c r="BD75" i="41"/>
  <c r="BD38" i="41"/>
  <c r="BD36" i="41"/>
  <c r="BB32" i="41"/>
  <c r="BD23" i="41"/>
  <c r="BA19" i="41"/>
  <c r="BB18" i="41"/>
  <c r="BD41" i="41"/>
  <c r="BB36" i="41"/>
  <c r="BA32" i="41"/>
  <c r="BB23" i="41"/>
  <c r="BD20" i="41"/>
  <c r="BD37" i="41"/>
  <c r="BD32" i="41"/>
  <c r="BA20" i="41"/>
  <c r="BB19" i="41"/>
  <c r="BD18" i="41"/>
  <c r="BB214" i="41"/>
  <c r="BB173" i="41"/>
  <c r="BB209" i="41"/>
  <c r="BD209" i="41"/>
  <c r="BD214" i="41"/>
  <c r="D25" i="6"/>
  <c r="F25" i="6"/>
  <c r="F23" i="6"/>
  <c r="F34" i="1"/>
  <c r="C23" i="6" s="1"/>
  <c r="I126" i="41"/>
  <c r="D136" i="41"/>
  <c r="F34" i="16"/>
  <c r="D135" i="41" s="1"/>
  <c r="AP127" i="41"/>
  <c r="AL127" i="41"/>
  <c r="AX137" i="41"/>
  <c r="BB137" i="41"/>
  <c r="E25" i="6"/>
  <c r="E23" i="6"/>
  <c r="I138" i="41"/>
  <c r="AR127" i="41"/>
  <c r="AN127" i="41"/>
  <c r="BD137" i="41"/>
  <c r="AZ137" i="41"/>
  <c r="E16" i="6"/>
  <c r="AE39" i="33"/>
  <c r="G32" i="33"/>
  <c r="G33" i="33" s="1"/>
  <c r="G35" i="33" s="1"/>
  <c r="J32" i="33"/>
  <c r="J33" i="33" s="1"/>
  <c r="J35" i="33" s="1"/>
  <c r="V32" i="33"/>
  <c r="V33" i="33" s="1"/>
  <c r="V35" i="33" s="1"/>
  <c r="AH36" i="33"/>
  <c r="AH38" i="33"/>
  <c r="AH37" i="33"/>
  <c r="M30" i="33"/>
  <c r="M31" i="33" s="1"/>
  <c r="S32" i="33"/>
  <c r="S33" i="33" s="1"/>
  <c r="S35" i="33" s="1"/>
  <c r="P30" i="33"/>
  <c r="P31" i="33" s="1"/>
  <c r="F33" i="10"/>
  <c r="F31" i="10"/>
  <c r="F32" i="10"/>
  <c r="Y39" i="33"/>
  <c r="AB36" i="33"/>
  <c r="AB37" i="33"/>
  <c r="AB38" i="33"/>
  <c r="F11" i="6"/>
  <c r="F13" i="6" s="1"/>
  <c r="G85" i="41"/>
  <c r="G100" i="41" s="1"/>
  <c r="G120" i="41" s="1"/>
  <c r="F17" i="6"/>
  <c r="D13" i="6"/>
  <c r="D19" i="6"/>
  <c r="N83" i="41"/>
  <c r="N208" i="41"/>
  <c r="N214" i="41"/>
  <c r="N109" i="41"/>
  <c r="N128" i="41"/>
  <c r="N200" i="41"/>
  <c r="N18" i="41"/>
  <c r="N14" i="41"/>
  <c r="N24" i="41"/>
  <c r="N15" i="41"/>
  <c r="N78" i="41"/>
  <c r="N51" i="41"/>
  <c r="N44" i="41"/>
  <c r="N92" i="41"/>
  <c r="N93" i="41"/>
  <c r="N113" i="41"/>
  <c r="N213" i="41"/>
  <c r="N23" i="41"/>
  <c r="N91" i="41"/>
  <c r="N58" i="41"/>
  <c r="N88" i="41"/>
  <c r="N81" i="41"/>
  <c r="N110" i="41"/>
  <c r="N126" i="41"/>
  <c r="N204" i="41"/>
  <c r="N56" i="41"/>
  <c r="Q133" i="41"/>
  <c r="Q142" i="41"/>
  <c r="Q141" i="41"/>
  <c r="Q152" i="41"/>
  <c r="Q151" i="41"/>
  <c r="Q132" i="41"/>
  <c r="Q148" i="41"/>
  <c r="Q158" i="41"/>
  <c r="Q131" i="41"/>
  <c r="Q153" i="41"/>
  <c r="Q156" i="41"/>
  <c r="Q224" i="41"/>
  <c r="Q223" i="41"/>
  <c r="Q147" i="41"/>
  <c r="Q179" i="41"/>
  <c r="Q189" i="41"/>
  <c r="Q225" i="41"/>
  <c r="Q228" i="41"/>
  <c r="Q218" i="41"/>
  <c r="Q229" i="41"/>
  <c r="Q194" i="41"/>
  <c r="Q220" i="41"/>
  <c r="Q143" i="41"/>
  <c r="Q146" i="41"/>
  <c r="Q219" i="41"/>
  <c r="Q157" i="41"/>
  <c r="Q230" i="41"/>
  <c r="N205" i="41"/>
  <c r="N27" i="41"/>
  <c r="N40" i="41"/>
  <c r="N71" i="41"/>
  <c r="N77" i="41"/>
  <c r="N99" i="41"/>
  <c r="N95" i="41"/>
  <c r="N162" i="41"/>
  <c r="N168" i="41"/>
  <c r="N172" i="41"/>
  <c r="N198" i="41"/>
  <c r="N26" i="41"/>
  <c r="N19" i="41"/>
  <c r="N28" i="41"/>
  <c r="N101" i="41"/>
  <c r="N37" i="41"/>
  <c r="N70" i="41"/>
  <c r="N79" i="41"/>
  <c r="N41" i="41"/>
  <c r="N46" i="41"/>
  <c r="N54" i="41"/>
  <c r="N59" i="41"/>
  <c r="N64" i="41"/>
  <c r="N75" i="41"/>
  <c r="N87" i="41"/>
  <c r="N114" i="41"/>
  <c r="N97" i="41"/>
  <c r="N100" i="41"/>
  <c r="N96" i="41"/>
  <c r="N105" i="41"/>
  <c r="N115" i="41"/>
  <c r="N117" i="41"/>
  <c r="N118" i="41"/>
  <c r="N38" i="41"/>
  <c r="N62" i="41"/>
  <c r="N111" i="41"/>
  <c r="N127" i="41"/>
  <c r="N167" i="41"/>
  <c r="N16" i="41"/>
  <c r="N20" i="41"/>
  <c r="N34" i="41"/>
  <c r="N82" i="41"/>
  <c r="N52" i="41"/>
  <c r="N107" i="41"/>
  <c r="N164" i="41"/>
  <c r="N163" i="41"/>
  <c r="N169" i="41"/>
  <c r="N199" i="41"/>
  <c r="N210" i="41"/>
  <c r="N203" i="41"/>
  <c r="N209" i="41"/>
  <c r="N215" i="41"/>
  <c r="N22" i="41"/>
  <c r="N32" i="41"/>
  <c r="N36" i="41"/>
  <c r="N33" i="41"/>
  <c r="N45" i="41"/>
  <c r="N63" i="41"/>
  <c r="N74" i="41"/>
  <c r="N42" i="41"/>
  <c r="N50" i="41"/>
  <c r="N55" i="41"/>
  <c r="N60" i="41"/>
  <c r="N69" i="41"/>
  <c r="N89" i="41"/>
  <c r="N106" i="41"/>
  <c r="R8" i="41"/>
  <c r="BB14" i="41"/>
  <c r="BD14" i="41"/>
  <c r="O27" i="41"/>
  <c r="BA14" i="41"/>
  <c r="O126" i="41"/>
  <c r="BE7" i="41"/>
  <c r="BH188" i="41" s="1"/>
  <c r="D73" i="41" l="1"/>
  <c r="AW73" i="41" s="1"/>
  <c r="D69" i="41"/>
  <c r="BH193" i="41"/>
  <c r="O177" i="41"/>
  <c r="O254" i="41"/>
  <c r="J199" i="41"/>
  <c r="AE59" i="33"/>
  <c r="AE75" i="33" s="1"/>
  <c r="AE71" i="33"/>
  <c r="AO136" i="41"/>
  <c r="AW136" i="41"/>
  <c r="N136" i="41" s="1"/>
  <c r="F171" i="41"/>
  <c r="F174" i="41" s="1"/>
  <c r="BG184" i="41"/>
  <c r="Y59" i="33"/>
  <c r="Y75" i="33" s="1"/>
  <c r="Y71" i="33"/>
  <c r="AO172" i="41"/>
  <c r="AC172" i="41"/>
  <c r="I172" i="41" s="1"/>
  <c r="O247" i="41"/>
  <c r="O248" i="41"/>
  <c r="L199" i="41"/>
  <c r="AT294" i="41"/>
  <c r="G11" i="45" s="1"/>
  <c r="O280" i="41"/>
  <c r="O255" i="41"/>
  <c r="O183" i="41"/>
  <c r="O178" i="41"/>
  <c r="O283" i="41"/>
  <c r="BE255" i="41"/>
  <c r="BG254" i="41"/>
  <c r="BH253" i="41"/>
  <c r="BH252" i="41"/>
  <c r="BE251" i="41"/>
  <c r="BH255" i="41"/>
  <c r="BF254" i="41"/>
  <c r="BG253" i="41"/>
  <c r="BG252" i="41"/>
  <c r="BH251" i="41"/>
  <c r="BF250" i="41"/>
  <c r="BG249" i="41"/>
  <c r="BG255" i="41"/>
  <c r="BE249" i="41"/>
  <c r="BE248" i="41"/>
  <c r="BF247" i="41"/>
  <c r="BG246" i="41"/>
  <c r="BF255" i="41"/>
  <c r="BH254" i="41"/>
  <c r="BH250" i="41"/>
  <c r="BH248" i="41"/>
  <c r="BE247" i="41"/>
  <c r="BF246" i="41"/>
  <c r="BG277" i="41"/>
  <c r="BG276" i="41"/>
  <c r="BH275" i="41"/>
  <c r="BE274" i="41"/>
  <c r="BF273" i="41"/>
  <c r="BG272" i="41"/>
  <c r="BF252" i="41"/>
  <c r="BG251" i="41"/>
  <c r="BG250" i="41"/>
  <c r="BE246" i="41"/>
  <c r="BE275" i="41"/>
  <c r="BE254" i="41"/>
  <c r="P254" i="41" s="1"/>
  <c r="BF253" i="41"/>
  <c r="BH249" i="41"/>
  <c r="BG248" i="41"/>
  <c r="BH247" i="41"/>
  <c r="BF277" i="41"/>
  <c r="BF276" i="41"/>
  <c r="BG275" i="41"/>
  <c r="BH274" i="41"/>
  <c r="BF251" i="41"/>
  <c r="BH277" i="41"/>
  <c r="BF274" i="41"/>
  <c r="BE273" i="41"/>
  <c r="BE272" i="41"/>
  <c r="P272" i="41" s="1"/>
  <c r="BF271" i="41"/>
  <c r="BG270" i="41"/>
  <c r="BH269" i="41"/>
  <c r="BE268" i="41"/>
  <c r="BE277" i="41"/>
  <c r="BF275" i="41"/>
  <c r="BE271" i="41"/>
  <c r="P271" i="41" s="1"/>
  <c r="BF270" i="41"/>
  <c r="BG269" i="41"/>
  <c r="BH268" i="41"/>
  <c r="BE252" i="41"/>
  <c r="BE250" i="41"/>
  <c r="P250" i="41" s="1"/>
  <c r="BH276" i="41"/>
  <c r="BH273" i="41"/>
  <c r="BH272" i="41"/>
  <c r="BH246" i="41"/>
  <c r="BG274" i="41"/>
  <c r="BG273" i="41"/>
  <c r="BF269" i="41"/>
  <c r="BG247" i="41"/>
  <c r="BE269" i="41"/>
  <c r="BF268" i="41"/>
  <c r="BF248" i="41"/>
  <c r="BE276" i="41"/>
  <c r="P276" i="41" s="1"/>
  <c r="BF272" i="41"/>
  <c r="BH271" i="41"/>
  <c r="BE253" i="41"/>
  <c r="BF249" i="41"/>
  <c r="BG271" i="41"/>
  <c r="BH270" i="41"/>
  <c r="BE270" i="41"/>
  <c r="BG268" i="41"/>
  <c r="BF280" i="41"/>
  <c r="BE280" i="41"/>
  <c r="BH281" i="41"/>
  <c r="BH282" i="41"/>
  <c r="BH283" i="41"/>
  <c r="BF283" i="41"/>
  <c r="BG280" i="41"/>
  <c r="BE281" i="41"/>
  <c r="BE282" i="41"/>
  <c r="BE283" i="41"/>
  <c r="BH280" i="41"/>
  <c r="BF281" i="41"/>
  <c r="BF282" i="41"/>
  <c r="BG283" i="41"/>
  <c r="BG282" i="41"/>
  <c r="BG281" i="41"/>
  <c r="BG188" i="41"/>
  <c r="BG178" i="41"/>
  <c r="BG89" i="41"/>
  <c r="BG55" i="41"/>
  <c r="BG193" i="41"/>
  <c r="BG187" i="41"/>
  <c r="BG177" i="41"/>
  <c r="BG110" i="41"/>
  <c r="BG88" i="41"/>
  <c r="BG54" i="41"/>
  <c r="BG192" i="41"/>
  <c r="BG183" i="41"/>
  <c r="BG109" i="41"/>
  <c r="BG182" i="41"/>
  <c r="BH187" i="41"/>
  <c r="BF184" i="41"/>
  <c r="P184" i="41" s="1"/>
  <c r="BH182" i="41"/>
  <c r="BF177" i="41"/>
  <c r="BF110" i="41"/>
  <c r="BH109" i="41"/>
  <c r="BE89" i="41"/>
  <c r="BE88" i="41"/>
  <c r="BH55" i="41"/>
  <c r="BE178" i="41"/>
  <c r="P178" i="41" s="1"/>
  <c r="BE109" i="41"/>
  <c r="BH89" i="41"/>
  <c r="BE55" i="41"/>
  <c r="BE192" i="41"/>
  <c r="BE188" i="41"/>
  <c r="BH184" i="41"/>
  <c r="BH177" i="41"/>
  <c r="BF89" i="41"/>
  <c r="BF88" i="41"/>
  <c r="BE54" i="41"/>
  <c r="BE193" i="41"/>
  <c r="BH192" i="41"/>
  <c r="BF187" i="41"/>
  <c r="BE184" i="41"/>
  <c r="BF182" i="41"/>
  <c r="BE177" i="41"/>
  <c r="P177" i="41" s="1"/>
  <c r="BE110" i="41"/>
  <c r="BF109" i="41"/>
  <c r="BF55" i="41"/>
  <c r="BH54" i="41"/>
  <c r="BF192" i="41"/>
  <c r="BF188" i="41"/>
  <c r="BE187" i="41"/>
  <c r="P187" i="41" s="1"/>
  <c r="BE183" i="41"/>
  <c r="BE182" i="41"/>
  <c r="BH88" i="41"/>
  <c r="BF54" i="41"/>
  <c r="BH110" i="41"/>
  <c r="BH178" i="41"/>
  <c r="BF178" i="41"/>
  <c r="BH183" i="41"/>
  <c r="BF183" i="41"/>
  <c r="P183" i="41" s="1"/>
  <c r="O184" i="41"/>
  <c r="O282" i="41"/>
  <c r="O269" i="41"/>
  <c r="O273" i="41"/>
  <c r="O271" i="41"/>
  <c r="O246" i="41"/>
  <c r="O276" i="41"/>
  <c r="O251" i="41"/>
  <c r="O253" i="41"/>
  <c r="AW183" i="41"/>
  <c r="N183" i="41" s="1"/>
  <c r="AS183" i="41"/>
  <c r="M183" i="41" s="1"/>
  <c r="O188" i="41"/>
  <c r="O193" i="41"/>
  <c r="BF193" i="41"/>
  <c r="O192" i="41"/>
  <c r="O187" i="41"/>
  <c r="O281" i="41"/>
  <c r="O272" i="41"/>
  <c r="O270" i="41"/>
  <c r="O268" i="41"/>
  <c r="O277" i="41"/>
  <c r="O274" i="41"/>
  <c r="P193" i="41"/>
  <c r="N193" i="41"/>
  <c r="AX231" i="41"/>
  <c r="AX292" i="41" s="1"/>
  <c r="AR173" i="41"/>
  <c r="L173" i="41" s="1"/>
  <c r="AV173" i="41"/>
  <c r="L132" i="41"/>
  <c r="AH231" i="41"/>
  <c r="AH294" i="41" s="1"/>
  <c r="G8" i="45" s="1"/>
  <c r="AG163" i="41"/>
  <c r="J163" i="41" s="1"/>
  <c r="AC163" i="41"/>
  <c r="I163" i="41" s="1"/>
  <c r="AY174" i="41"/>
  <c r="N174" i="41" s="1"/>
  <c r="AQ174" i="41"/>
  <c r="L174" i="41" s="1"/>
  <c r="AU174" i="41"/>
  <c r="AN168" i="41"/>
  <c r="K168" i="41" s="1"/>
  <c r="AJ168" i="41"/>
  <c r="BD120" i="41"/>
  <c r="D125" i="41"/>
  <c r="D127" i="41" s="1"/>
  <c r="AK127" i="41" s="1"/>
  <c r="T17" i="49" s="1"/>
  <c r="T33" i="49" s="1"/>
  <c r="AI17" i="49"/>
  <c r="AI33" i="49" s="1"/>
  <c r="F231" i="41"/>
  <c r="F292" i="41" s="1"/>
  <c r="D171" i="41"/>
  <c r="D173" i="41" s="1"/>
  <c r="F34" i="6"/>
  <c r="L168" i="41"/>
  <c r="D32" i="6"/>
  <c r="AP163" i="41"/>
  <c r="E231" i="41"/>
  <c r="E292" i="41" s="1"/>
  <c r="AL163" i="41"/>
  <c r="AL231" i="41" s="1"/>
  <c r="AL292" i="41" s="1"/>
  <c r="BC174" i="41"/>
  <c r="BC231" i="41" s="1"/>
  <c r="AN163" i="41"/>
  <c r="AR163" i="41"/>
  <c r="AZ173" i="41"/>
  <c r="N173" i="41" s="1"/>
  <c r="BD173" i="41"/>
  <c r="BD231" i="41" s="1"/>
  <c r="G231" i="41"/>
  <c r="G292" i="41" s="1"/>
  <c r="L172" i="41"/>
  <c r="K200" i="41"/>
  <c r="J200" i="41"/>
  <c r="AI231" i="41"/>
  <c r="AI292" i="41" s="1"/>
  <c r="AE231" i="41"/>
  <c r="AE292" i="41" s="1"/>
  <c r="H7" i="45" s="1"/>
  <c r="I200" i="41"/>
  <c r="Z17" i="49"/>
  <c r="Z33" i="49" s="1"/>
  <c r="L200" i="41"/>
  <c r="BA73" i="41"/>
  <c r="BA120" i="41" s="1"/>
  <c r="AG69" i="41"/>
  <c r="BB120" i="41"/>
  <c r="AO231" i="41"/>
  <c r="AO292" i="41" s="1"/>
  <c r="AN231" i="41"/>
  <c r="AN292" i="41" s="1"/>
  <c r="BB231" i="41"/>
  <c r="AP231" i="41"/>
  <c r="AP294" i="41" s="1"/>
  <c r="G10" i="45" s="1"/>
  <c r="K128" i="41"/>
  <c r="AM231" i="41"/>
  <c r="AM292" i="41" s="1"/>
  <c r="BC120" i="41"/>
  <c r="BD290" i="41"/>
  <c r="BC290" i="41"/>
  <c r="BB290" i="41"/>
  <c r="BA290" i="41"/>
  <c r="O263" i="41"/>
  <c r="O245" i="41"/>
  <c r="O244" i="41"/>
  <c r="O243" i="41"/>
  <c r="O267" i="41"/>
  <c r="O262" i="41"/>
  <c r="O242" i="41"/>
  <c r="O266" i="41"/>
  <c r="O265" i="41"/>
  <c r="BF262" i="41"/>
  <c r="BF263" i="41"/>
  <c r="BF264" i="41"/>
  <c r="BF265" i="41"/>
  <c r="BF266" i="41"/>
  <c r="BG262" i="41"/>
  <c r="BH262" i="41"/>
  <c r="BH263" i="41"/>
  <c r="BG264" i="41"/>
  <c r="BE265" i="41"/>
  <c r="BG267" i="41"/>
  <c r="BE262" i="41"/>
  <c r="BH264" i="41"/>
  <c r="BG265" i="41"/>
  <c r="BE266" i="41"/>
  <c r="BH267" i="41"/>
  <c r="BE263" i="41"/>
  <c r="BH265" i="41"/>
  <c r="BG266" i="41"/>
  <c r="BE267" i="41"/>
  <c r="BH266" i="41"/>
  <c r="BG263" i="41"/>
  <c r="BF267" i="41"/>
  <c r="BH242" i="41"/>
  <c r="BE243" i="41"/>
  <c r="BF244" i="41"/>
  <c r="BF242" i="41"/>
  <c r="BG243" i="41"/>
  <c r="BG244" i="41"/>
  <c r="BF245" i="41"/>
  <c r="BG242" i="41"/>
  <c r="BH243" i="41"/>
  <c r="BH244" i="41"/>
  <c r="BG245" i="41"/>
  <c r="BE244" i="41"/>
  <c r="BE264" i="41"/>
  <c r="BH245" i="41"/>
  <c r="BE242" i="41"/>
  <c r="BF243" i="41"/>
  <c r="BE245" i="41"/>
  <c r="O264" i="41"/>
  <c r="O239" i="41"/>
  <c r="R285" i="41"/>
  <c r="R287" i="41"/>
  <c r="R289" i="41"/>
  <c r="R284" i="41"/>
  <c r="R286" i="41"/>
  <c r="R288" i="41"/>
  <c r="BG258" i="41"/>
  <c r="BE259" i="41"/>
  <c r="BG260" i="41"/>
  <c r="BH258" i="41"/>
  <c r="BF259" i="41"/>
  <c r="BH260" i="41"/>
  <c r="BE258" i="41"/>
  <c r="BG259" i="41"/>
  <c r="BF258" i="41"/>
  <c r="BH259" i="41"/>
  <c r="BF260" i="41"/>
  <c r="BG261" i="41"/>
  <c r="BE260" i="41"/>
  <c r="BH261" i="41"/>
  <c r="BE261" i="41"/>
  <c r="BF261" i="41"/>
  <c r="O261" i="41"/>
  <c r="O240" i="41"/>
  <c r="O260" i="41"/>
  <c r="O259" i="41"/>
  <c r="O258" i="41"/>
  <c r="O241" i="41"/>
  <c r="O237" i="41"/>
  <c r="BH236" i="41"/>
  <c r="BF237" i="41"/>
  <c r="BH238" i="41"/>
  <c r="BF239" i="41"/>
  <c r="BF236" i="41"/>
  <c r="BH237" i="41"/>
  <c r="BF238" i="41"/>
  <c r="BG237" i="41"/>
  <c r="BE238" i="41"/>
  <c r="BG240" i="41"/>
  <c r="BE241" i="41"/>
  <c r="BG238" i="41"/>
  <c r="BE239" i="41"/>
  <c r="BH240" i="41"/>
  <c r="BE236" i="41"/>
  <c r="BG239" i="41"/>
  <c r="BE240" i="41"/>
  <c r="BG241" i="41"/>
  <c r="BF240" i="41"/>
  <c r="BE237" i="41"/>
  <c r="BH239" i="41"/>
  <c r="BF241" i="41"/>
  <c r="BH241" i="41"/>
  <c r="BG236" i="41"/>
  <c r="O238" i="41"/>
  <c r="O236" i="41"/>
  <c r="BG138" i="41"/>
  <c r="BH137" i="41"/>
  <c r="N138" i="41"/>
  <c r="BG208" i="41"/>
  <c r="BG136" i="41"/>
  <c r="BG105" i="41"/>
  <c r="BG97" i="41"/>
  <c r="BG92" i="41"/>
  <c r="BG214" i="41"/>
  <c r="BG172" i="41"/>
  <c r="BG106" i="41"/>
  <c r="BG96" i="41"/>
  <c r="BG213" i="41"/>
  <c r="BG137" i="41"/>
  <c r="BG75" i="41"/>
  <c r="BG51" i="41"/>
  <c r="BG38" i="41"/>
  <c r="BG20" i="41"/>
  <c r="BG74" i="41"/>
  <c r="BG69" i="41"/>
  <c r="BG41" i="41"/>
  <c r="BG209" i="41"/>
  <c r="BG93" i="41"/>
  <c r="BG87" i="41"/>
  <c r="BG73" i="41"/>
  <c r="BG19" i="41"/>
  <c r="BG14" i="41"/>
  <c r="BG173" i="41"/>
  <c r="BG91" i="41"/>
  <c r="BG78" i="41"/>
  <c r="BG37" i="41"/>
  <c r="BG32" i="41"/>
  <c r="BG24" i="41"/>
  <c r="BG18" i="41"/>
  <c r="BG36" i="41"/>
  <c r="BG50" i="41"/>
  <c r="BG42" i="41"/>
  <c r="BG23" i="41"/>
  <c r="BH97" i="41"/>
  <c r="BE24" i="41"/>
  <c r="BF97" i="41"/>
  <c r="BE97" i="41"/>
  <c r="BH24" i="41"/>
  <c r="BF24" i="41"/>
  <c r="BG210" i="41"/>
  <c r="BG215" i="41"/>
  <c r="BG174" i="41"/>
  <c r="O75" i="41"/>
  <c r="L128" i="41"/>
  <c r="BH215" i="41"/>
  <c r="BE213" i="41"/>
  <c r="BE214" i="41"/>
  <c r="BH213" i="41"/>
  <c r="BE209" i="41"/>
  <c r="BE215" i="41"/>
  <c r="BF213" i="41"/>
  <c r="BE210" i="41"/>
  <c r="BF208" i="41"/>
  <c r="BF210" i="41"/>
  <c r="BE208" i="41"/>
  <c r="BE174" i="41"/>
  <c r="BF215" i="41"/>
  <c r="BH210" i="41"/>
  <c r="BE173" i="41"/>
  <c r="BH172" i="41"/>
  <c r="BH208" i="41"/>
  <c r="BH174" i="41"/>
  <c r="BE172" i="41"/>
  <c r="BE138" i="41"/>
  <c r="BF174" i="41"/>
  <c r="BH138" i="41"/>
  <c r="BE136" i="41"/>
  <c r="BF172" i="41"/>
  <c r="BF138" i="41"/>
  <c r="BF106" i="41"/>
  <c r="BE105" i="41"/>
  <c r="BE96" i="41"/>
  <c r="BE93" i="41"/>
  <c r="BH106" i="41"/>
  <c r="BH105" i="41"/>
  <c r="BF93" i="41"/>
  <c r="BH136" i="41"/>
  <c r="BE92" i="41"/>
  <c r="BE91" i="41"/>
  <c r="BH87" i="41"/>
  <c r="BE137" i="41"/>
  <c r="BF96" i="41"/>
  <c r="BH92" i="41"/>
  <c r="BH91" i="41"/>
  <c r="BF136" i="41"/>
  <c r="BE106" i="41"/>
  <c r="BF105" i="41"/>
  <c r="BH96" i="41"/>
  <c r="BF92" i="41"/>
  <c r="BF91" i="41"/>
  <c r="BE87" i="41"/>
  <c r="BE78" i="41"/>
  <c r="BE75" i="41"/>
  <c r="BE74" i="41"/>
  <c r="BE73" i="41"/>
  <c r="BH69" i="41"/>
  <c r="BF50" i="41"/>
  <c r="BH75" i="41"/>
  <c r="BH73" i="41"/>
  <c r="BE69" i="41"/>
  <c r="BE51" i="41"/>
  <c r="BE50" i="41"/>
  <c r="BF38" i="41"/>
  <c r="BH93" i="41"/>
  <c r="BF75" i="41"/>
  <c r="BF73" i="41"/>
  <c r="BE42" i="41"/>
  <c r="BE41" i="41"/>
  <c r="BE38" i="41"/>
  <c r="BE37" i="41"/>
  <c r="BE36" i="41"/>
  <c r="BF87" i="41"/>
  <c r="BF78" i="41"/>
  <c r="BF74" i="41"/>
  <c r="BF69" i="41"/>
  <c r="BF51" i="41"/>
  <c r="BF42" i="41"/>
  <c r="BF41" i="41"/>
  <c r="BF37" i="41"/>
  <c r="BH74" i="41"/>
  <c r="BH42" i="41"/>
  <c r="BH23" i="41"/>
  <c r="BH38" i="41"/>
  <c r="BF36" i="41"/>
  <c r="BE23" i="41"/>
  <c r="BH19" i="41"/>
  <c r="BH78" i="41"/>
  <c r="BH51" i="41"/>
  <c r="BH37" i="41"/>
  <c r="BH36" i="41"/>
  <c r="BE32" i="41"/>
  <c r="BF23" i="41"/>
  <c r="BH20" i="41"/>
  <c r="BE18" i="41"/>
  <c r="BF20" i="41"/>
  <c r="BH50" i="41"/>
  <c r="BH41" i="41"/>
  <c r="BH32" i="41"/>
  <c r="BE20" i="41"/>
  <c r="BF19" i="41"/>
  <c r="BH18" i="41"/>
  <c r="BF32" i="41"/>
  <c r="BE19" i="41"/>
  <c r="BF18" i="41"/>
  <c r="BH214" i="41"/>
  <c r="BF209" i="41"/>
  <c r="BH209" i="41"/>
  <c r="BF214" i="41"/>
  <c r="BF173" i="41"/>
  <c r="BH173" i="41"/>
  <c r="BF137" i="41"/>
  <c r="L136" i="41"/>
  <c r="L127" i="41"/>
  <c r="E19" i="6"/>
  <c r="F48" i="6"/>
  <c r="D48" i="6"/>
  <c r="D58" i="6" s="1"/>
  <c r="E48" i="6"/>
  <c r="N137" i="41"/>
  <c r="AG127" i="41"/>
  <c r="D137" i="41"/>
  <c r="C25" i="6"/>
  <c r="F34" i="10"/>
  <c r="D67" i="41" s="1"/>
  <c r="G36" i="33"/>
  <c r="G37" i="33"/>
  <c r="G38" i="33"/>
  <c r="S36" i="33"/>
  <c r="S37" i="33"/>
  <c r="S38" i="33"/>
  <c r="M32" i="33"/>
  <c r="M33" i="33" s="1"/>
  <c r="M35" i="33" s="1"/>
  <c r="AH39" i="33"/>
  <c r="J36" i="33"/>
  <c r="J37" i="33"/>
  <c r="J38" i="33"/>
  <c r="AB39" i="33"/>
  <c r="P32" i="33"/>
  <c r="P33" i="33" s="1"/>
  <c r="P35" i="33" s="1"/>
  <c r="V36" i="33"/>
  <c r="V38" i="33"/>
  <c r="V37" i="33"/>
  <c r="F19" i="6"/>
  <c r="O16" i="41"/>
  <c r="O136" i="41"/>
  <c r="O199" i="41"/>
  <c r="O169" i="41"/>
  <c r="O204" i="41"/>
  <c r="O34" i="41"/>
  <c r="O109" i="41"/>
  <c r="O79" i="41"/>
  <c r="O208" i="41"/>
  <c r="O26" i="41"/>
  <c r="O51" i="41"/>
  <c r="O70" i="41"/>
  <c r="O38" i="41"/>
  <c r="O52" i="41"/>
  <c r="O58" i="41"/>
  <c r="O64" i="41"/>
  <c r="O74" i="41"/>
  <c r="O107" i="41"/>
  <c r="O117" i="41"/>
  <c r="O172" i="41"/>
  <c r="O203" i="41"/>
  <c r="O19" i="41"/>
  <c r="O87" i="41"/>
  <c r="O46" i="41"/>
  <c r="O82" i="41"/>
  <c r="O105" i="41"/>
  <c r="O128" i="41"/>
  <c r="O209" i="41"/>
  <c r="O44" i="41"/>
  <c r="O167" i="41"/>
  <c r="O200" i="41"/>
  <c r="O32" i="41"/>
  <c r="O54" i="41"/>
  <c r="O69" i="41"/>
  <c r="O101" i="41"/>
  <c r="O118" i="41"/>
  <c r="O113" i="41"/>
  <c r="O138" i="41"/>
  <c r="O168" i="41"/>
  <c r="O205" i="41"/>
  <c r="O15" i="41"/>
  <c r="O22" i="41"/>
  <c r="O23" i="41"/>
  <c r="O71" i="41"/>
  <c r="O41" i="41"/>
  <c r="O50" i="41"/>
  <c r="O55" i="41"/>
  <c r="O60" i="41"/>
  <c r="O100" i="41"/>
  <c r="O77" i="41"/>
  <c r="O83" i="41"/>
  <c r="O88" i="41"/>
  <c r="O97" i="41"/>
  <c r="O93" i="41"/>
  <c r="O106" i="41"/>
  <c r="O96" i="41"/>
  <c r="R131" i="41"/>
  <c r="R143" i="41"/>
  <c r="R146" i="41"/>
  <c r="R153" i="41"/>
  <c r="R156" i="41"/>
  <c r="R142" i="41"/>
  <c r="R141" i="41"/>
  <c r="R152" i="41"/>
  <c r="R151" i="41"/>
  <c r="R147" i="41"/>
  <c r="R179" i="41"/>
  <c r="R189" i="41"/>
  <c r="R225" i="41"/>
  <c r="R228" i="41"/>
  <c r="R158" i="41"/>
  <c r="R219" i="41"/>
  <c r="R218" i="41"/>
  <c r="R229" i="41"/>
  <c r="R133" i="41"/>
  <c r="R194" i="41"/>
  <c r="R220" i="41"/>
  <c r="R148" i="41"/>
  <c r="R223" i="41"/>
  <c r="R157" i="41"/>
  <c r="R230" i="41"/>
  <c r="R132" i="41"/>
  <c r="R224" i="41"/>
  <c r="O164" i="41"/>
  <c r="O163" i="41"/>
  <c r="O18" i="41"/>
  <c r="O99" i="41"/>
  <c r="O45" i="41"/>
  <c r="O40" i="41"/>
  <c r="O59" i="41"/>
  <c r="O89" i="41"/>
  <c r="O111" i="41"/>
  <c r="O127" i="41"/>
  <c r="O162" i="41"/>
  <c r="O210" i="41"/>
  <c r="O198" i="41"/>
  <c r="O213" i="41"/>
  <c r="O214" i="41"/>
  <c r="O215" i="41"/>
  <c r="O20" i="41"/>
  <c r="O14" i="41"/>
  <c r="O24" i="41"/>
  <c r="O28" i="41"/>
  <c r="O36" i="41"/>
  <c r="O33" i="41"/>
  <c r="O92" i="41"/>
  <c r="O37" i="41"/>
  <c r="O42" i="41"/>
  <c r="O56" i="41"/>
  <c r="O62" i="41"/>
  <c r="O63" i="41"/>
  <c r="O81" i="41"/>
  <c r="O78" i="41"/>
  <c r="O91" i="41"/>
  <c r="O95" i="41"/>
  <c r="O110" i="41"/>
  <c r="O114" i="41"/>
  <c r="O119" i="41"/>
  <c r="O115" i="41"/>
  <c r="S8" i="41"/>
  <c r="BF14" i="41"/>
  <c r="BH14" i="41"/>
  <c r="BE14" i="41"/>
  <c r="BI7" i="41"/>
  <c r="AB59" i="33" l="1"/>
  <c r="AB75" i="33" s="1"/>
  <c r="AB71" i="33"/>
  <c r="AH59" i="33"/>
  <c r="AH75" i="33" s="1"/>
  <c r="AH71" i="33"/>
  <c r="AQ231" i="41"/>
  <c r="AQ292" i="41" s="1"/>
  <c r="AY231" i="41"/>
  <c r="AY294" i="41" s="1"/>
  <c r="H12" i="45" s="1"/>
  <c r="P188" i="41"/>
  <c r="N73" i="41"/>
  <c r="AW120" i="41"/>
  <c r="AX294" i="41"/>
  <c r="G12" i="45" s="1"/>
  <c r="P192" i="41"/>
  <c r="P268" i="41"/>
  <c r="P270" i="41"/>
  <c r="P253" i="41"/>
  <c r="P252" i="41"/>
  <c r="P273" i="41"/>
  <c r="P274" i="41"/>
  <c r="P248" i="41"/>
  <c r="AW231" i="41"/>
  <c r="P283" i="41"/>
  <c r="P280" i="41"/>
  <c r="P275" i="41"/>
  <c r="P247" i="41"/>
  <c r="P249" i="41"/>
  <c r="AS137" i="41"/>
  <c r="BA137" i="41"/>
  <c r="P281" i="41"/>
  <c r="BI255" i="41"/>
  <c r="BK254" i="41"/>
  <c r="BL253" i="41"/>
  <c r="BL252" i="41"/>
  <c r="BI251" i="41"/>
  <c r="BL255" i="41"/>
  <c r="BJ254" i="41"/>
  <c r="BK253" i="41"/>
  <c r="BK252" i="41"/>
  <c r="BL251" i="41"/>
  <c r="BJ250" i="41"/>
  <c r="BK249" i="41"/>
  <c r="BI254" i="41"/>
  <c r="BJ253" i="41"/>
  <c r="BJ252" i="41"/>
  <c r="BK251" i="41"/>
  <c r="BI250" i="41"/>
  <c r="BJ249" i="41"/>
  <c r="BI248" i="41"/>
  <c r="BJ247" i="41"/>
  <c r="BK246" i="41"/>
  <c r="BI253" i="41"/>
  <c r="BI252" i="41"/>
  <c r="Q252" i="41" s="1"/>
  <c r="BJ251" i="41"/>
  <c r="BI249" i="41"/>
  <c r="BL248" i="41"/>
  <c r="BI247" i="41"/>
  <c r="BJ246" i="41"/>
  <c r="BK277" i="41"/>
  <c r="BK276" i="41"/>
  <c r="BL275" i="41"/>
  <c r="BI274" i="41"/>
  <c r="BJ273" i="41"/>
  <c r="BK272" i="41"/>
  <c r="BK248" i="41"/>
  <c r="BL247" i="41"/>
  <c r="BI277" i="41"/>
  <c r="BI276" i="41"/>
  <c r="Q276" i="41" s="1"/>
  <c r="BJ275" i="41"/>
  <c r="BK255" i="41"/>
  <c r="BL250" i="41"/>
  <c r="BI246" i="41"/>
  <c r="BL277" i="41"/>
  <c r="BL276" i="41"/>
  <c r="BL254" i="41"/>
  <c r="BI275" i="41"/>
  <c r="BL274" i="41"/>
  <c r="BK273" i="41"/>
  <c r="BJ272" i="41"/>
  <c r="BJ271" i="41"/>
  <c r="BK270" i="41"/>
  <c r="BL269" i="41"/>
  <c r="BI268" i="41"/>
  <c r="BJ255" i="41"/>
  <c r="BK250" i="41"/>
  <c r="BJ276" i="41"/>
  <c r="BK274" i="41"/>
  <c r="BI273" i="41"/>
  <c r="BI272" i="41"/>
  <c r="BI271" i="41"/>
  <c r="BJ270" i="41"/>
  <c r="BK269" i="41"/>
  <c r="BL268" i="41"/>
  <c r="BL249" i="41"/>
  <c r="BJ248" i="41"/>
  <c r="BK247" i="41"/>
  <c r="BL246" i="41"/>
  <c r="BJ274" i="41"/>
  <c r="BL271" i="41"/>
  <c r="BJ277" i="41"/>
  <c r="BL272" i="41"/>
  <c r="BK271" i="41"/>
  <c r="BL270" i="41"/>
  <c r="BK275" i="41"/>
  <c r="BI270" i="41"/>
  <c r="Q270" i="41" s="1"/>
  <c r="BJ269" i="41"/>
  <c r="BK268" i="41"/>
  <c r="BL273" i="41"/>
  <c r="BI269" i="41"/>
  <c r="BJ268" i="41"/>
  <c r="BJ280" i="41"/>
  <c r="BK280" i="41"/>
  <c r="BL281" i="41"/>
  <c r="BL282" i="41"/>
  <c r="BL283" i="41"/>
  <c r="BL280" i="41"/>
  <c r="BI281" i="41"/>
  <c r="BI282" i="41"/>
  <c r="BI283" i="41"/>
  <c r="BJ281" i="41"/>
  <c r="BJ282" i="41"/>
  <c r="BJ283" i="41"/>
  <c r="BK283" i="41"/>
  <c r="BI280" i="41"/>
  <c r="Q280" i="41" s="1"/>
  <c r="BK282" i="41"/>
  <c r="BK281" i="41"/>
  <c r="BK192" i="41"/>
  <c r="BK183" i="41"/>
  <c r="BK109" i="41"/>
  <c r="BK188" i="41"/>
  <c r="BK89" i="41"/>
  <c r="BK55" i="41"/>
  <c r="BK187" i="41"/>
  <c r="BK110" i="41"/>
  <c r="BK88" i="41"/>
  <c r="BK54" i="41"/>
  <c r="BK182" i="41"/>
  <c r="BK178" i="41"/>
  <c r="BK193" i="41"/>
  <c r="BK177" i="41"/>
  <c r="BI193" i="41"/>
  <c r="BI192" i="41"/>
  <c r="BJ188" i="41"/>
  <c r="BL184" i="41"/>
  <c r="BL177" i="41"/>
  <c r="BL110" i="41"/>
  <c r="BJ89" i="41"/>
  <c r="BJ88" i="41"/>
  <c r="BI54" i="41"/>
  <c r="BJ182" i="41"/>
  <c r="BI110" i="41"/>
  <c r="BJ109" i="41"/>
  <c r="BL54" i="41"/>
  <c r="BI182" i="41"/>
  <c r="BI188" i="41"/>
  <c r="BL187" i="41"/>
  <c r="BJ184" i="41"/>
  <c r="BI183" i="41"/>
  <c r="BL182" i="41"/>
  <c r="BI178" i="41"/>
  <c r="BJ177" i="41"/>
  <c r="BJ110" i="41"/>
  <c r="BL109" i="41"/>
  <c r="BI89" i="41"/>
  <c r="BI88" i="41"/>
  <c r="BL55" i="41"/>
  <c r="BL192" i="41"/>
  <c r="BJ187" i="41"/>
  <c r="BI184" i="41"/>
  <c r="BI177" i="41"/>
  <c r="BJ55" i="41"/>
  <c r="BJ192" i="41"/>
  <c r="BI187" i="41"/>
  <c r="BI109" i="41"/>
  <c r="BL89" i="41"/>
  <c r="BL88" i="41"/>
  <c r="BI55" i="41"/>
  <c r="BJ54" i="41"/>
  <c r="BL178" i="41"/>
  <c r="BJ178" i="41"/>
  <c r="BJ183" i="41"/>
  <c r="BL183" i="41"/>
  <c r="BK184" i="41"/>
  <c r="BL188" i="41"/>
  <c r="Q188" i="41" s="1"/>
  <c r="BL193" i="41"/>
  <c r="BJ193" i="41"/>
  <c r="P182" i="41"/>
  <c r="P282" i="41"/>
  <c r="P269" i="41"/>
  <c r="P277" i="41"/>
  <c r="P246" i="41"/>
  <c r="P251" i="41"/>
  <c r="P255" i="41"/>
  <c r="AK17" i="49"/>
  <c r="AK33" i="49" s="1"/>
  <c r="AJ231" i="41"/>
  <c r="AJ292" i="41" s="1"/>
  <c r="AS173" i="41"/>
  <c r="M173" i="41" s="1"/>
  <c r="AC173" i="41"/>
  <c r="AA17" i="49"/>
  <c r="AA33" i="49" s="1"/>
  <c r="AH292" i="41"/>
  <c r="AE17" i="49"/>
  <c r="AE33" i="49" s="1"/>
  <c r="AU231" i="41"/>
  <c r="AU294" i="41" s="1"/>
  <c r="H11" i="45" s="1"/>
  <c r="M174" i="41"/>
  <c r="AV231" i="41"/>
  <c r="AV294" i="41" s="1"/>
  <c r="I11" i="45" s="1"/>
  <c r="AV292" i="41"/>
  <c r="J168" i="41"/>
  <c r="BH120" i="41"/>
  <c r="Y17" i="49"/>
  <c r="Y33" i="49" s="1"/>
  <c r="AZ231" i="41"/>
  <c r="AZ294" i="41" s="1"/>
  <c r="I12" i="45" s="1"/>
  <c r="O174" i="41"/>
  <c r="AY292" i="41"/>
  <c r="L163" i="41"/>
  <c r="K163" i="41"/>
  <c r="O173" i="41"/>
  <c r="BD294" i="41"/>
  <c r="I13" i="45" s="1"/>
  <c r="AR231" i="41"/>
  <c r="AR292" i="41" s="1"/>
  <c r="AP292" i="41"/>
  <c r="AI294" i="41"/>
  <c r="H8" i="45" s="1"/>
  <c r="AM11" i="49"/>
  <c r="BD292" i="41"/>
  <c r="P17" i="49"/>
  <c r="P33" i="49" s="1"/>
  <c r="U17" i="49"/>
  <c r="U33" i="49" s="1"/>
  <c r="V17" i="49"/>
  <c r="V33" i="49" s="1"/>
  <c r="O73" i="41"/>
  <c r="J69" i="41"/>
  <c r="AG120" i="41"/>
  <c r="AQ294" i="41"/>
  <c r="H10" i="45" s="1"/>
  <c r="BB292" i="41"/>
  <c r="BB294" i="41"/>
  <c r="G13" i="45" s="1"/>
  <c r="AN294" i="41"/>
  <c r="I9" i="45" s="1"/>
  <c r="AG231" i="41"/>
  <c r="BG120" i="41"/>
  <c r="BF120" i="41"/>
  <c r="BE231" i="41"/>
  <c r="BG231" i="41"/>
  <c r="AK231" i="41"/>
  <c r="AK292" i="41" s="1"/>
  <c r="BC292" i="41"/>
  <c r="AO294" i="41"/>
  <c r="F10" i="45" s="1"/>
  <c r="BE120" i="41"/>
  <c r="AS231" i="41"/>
  <c r="AS294" i="41" s="1"/>
  <c r="BF231" i="41"/>
  <c r="BH231" i="41"/>
  <c r="AM294" i="41"/>
  <c r="H9" i="45" s="1"/>
  <c r="AL294" i="41"/>
  <c r="G9" i="45" s="1"/>
  <c r="BC294" i="41"/>
  <c r="H13" i="45" s="1"/>
  <c r="BG290" i="41"/>
  <c r="BF290" i="41"/>
  <c r="BH290" i="41"/>
  <c r="BE290" i="41"/>
  <c r="P244" i="41"/>
  <c r="P245" i="41"/>
  <c r="D231" i="41"/>
  <c r="K127" i="41"/>
  <c r="P263" i="41"/>
  <c r="P266" i="41"/>
  <c r="P242" i="41"/>
  <c r="P265" i="41"/>
  <c r="P237" i="41"/>
  <c r="P260" i="41"/>
  <c r="P243" i="41"/>
  <c r="BJ262" i="41"/>
  <c r="BJ263" i="41"/>
  <c r="BJ264" i="41"/>
  <c r="BJ265" i="41"/>
  <c r="BJ266" i="41"/>
  <c r="BK262" i="41"/>
  <c r="BL262" i="41"/>
  <c r="BL264" i="41"/>
  <c r="BK265" i="41"/>
  <c r="BI266" i="41"/>
  <c r="BK267" i="41"/>
  <c r="BI263" i="41"/>
  <c r="BL265" i="41"/>
  <c r="BK266" i="41"/>
  <c r="BL267" i="41"/>
  <c r="BI262" i="41"/>
  <c r="BK263" i="41"/>
  <c r="BI264" i="41"/>
  <c r="BL266" i="41"/>
  <c r="BI267" i="41"/>
  <c r="BK264" i="41"/>
  <c r="BL263" i="41"/>
  <c r="BI265" i="41"/>
  <c r="BL242" i="41"/>
  <c r="BI243" i="41"/>
  <c r="BJ244" i="41"/>
  <c r="BK242" i="41"/>
  <c r="BL243" i="41"/>
  <c r="BL244" i="41"/>
  <c r="BJ245" i="41"/>
  <c r="BJ242" i="41"/>
  <c r="BK243" i="41"/>
  <c r="BK244" i="41"/>
  <c r="BI245" i="41"/>
  <c r="BK245" i="41"/>
  <c r="BJ267" i="41"/>
  <c r="BI242" i="41"/>
  <c r="BJ243" i="41"/>
  <c r="BI244" i="41"/>
  <c r="BL245" i="41"/>
  <c r="P264" i="41"/>
  <c r="P267" i="41"/>
  <c r="P262" i="41"/>
  <c r="S284" i="41"/>
  <c r="S286" i="41"/>
  <c r="S288" i="41"/>
  <c r="S285" i="41"/>
  <c r="S287" i="41"/>
  <c r="S289" i="41"/>
  <c r="P236" i="41"/>
  <c r="P261" i="41"/>
  <c r="P258" i="41"/>
  <c r="P259" i="41"/>
  <c r="BK258" i="41"/>
  <c r="BI259" i="41"/>
  <c r="BK260" i="41"/>
  <c r="BL258" i="41"/>
  <c r="BJ259" i="41"/>
  <c r="BL260" i="41"/>
  <c r="BI258" i="41"/>
  <c r="BK259" i="41"/>
  <c r="BJ258" i="41"/>
  <c r="BL259" i="41"/>
  <c r="BJ260" i="41"/>
  <c r="BK261" i="41"/>
  <c r="BL261" i="41"/>
  <c r="BI260" i="41"/>
  <c r="BI261" i="41"/>
  <c r="BJ261" i="41"/>
  <c r="BL236" i="41"/>
  <c r="BJ237" i="41"/>
  <c r="BL238" i="41"/>
  <c r="BJ236" i="41"/>
  <c r="BL237" i="41"/>
  <c r="BJ238" i="41"/>
  <c r="BI236" i="41"/>
  <c r="BI239" i="41"/>
  <c r="BK240" i="41"/>
  <c r="BI241" i="41"/>
  <c r="BK236" i="41"/>
  <c r="BI237" i="41"/>
  <c r="BJ239" i="41"/>
  <c r="BL240" i="41"/>
  <c r="BK237" i="41"/>
  <c r="BI238" i="41"/>
  <c r="BK239" i="41"/>
  <c r="BI240" i="41"/>
  <c r="BK241" i="41"/>
  <c r="BK238" i="41"/>
  <c r="BL241" i="41"/>
  <c r="BJ240" i="41"/>
  <c r="BL239" i="41"/>
  <c r="BJ241" i="41"/>
  <c r="P241" i="41"/>
  <c r="P240" i="41"/>
  <c r="P239" i="41"/>
  <c r="P238" i="41"/>
  <c r="E58" i="6"/>
  <c r="BK213" i="41"/>
  <c r="BK172" i="41"/>
  <c r="BK209" i="41"/>
  <c r="BK137" i="41"/>
  <c r="BK106" i="41"/>
  <c r="BK93" i="41"/>
  <c r="BK75" i="41"/>
  <c r="BK51" i="41"/>
  <c r="BK38" i="41"/>
  <c r="BK20" i="41"/>
  <c r="BK208" i="41"/>
  <c r="BK87" i="41"/>
  <c r="BK73" i="41"/>
  <c r="BK14" i="41"/>
  <c r="BK173" i="41"/>
  <c r="BK97" i="41"/>
  <c r="BK78" i="41"/>
  <c r="BK32" i="41"/>
  <c r="BK18" i="41"/>
  <c r="BK136" i="41"/>
  <c r="BK96" i="41"/>
  <c r="BK50" i="41"/>
  <c r="BK42" i="41"/>
  <c r="BK36" i="41"/>
  <c r="BK23" i="41"/>
  <c r="BK74" i="41"/>
  <c r="BK69" i="41"/>
  <c r="BK41" i="41"/>
  <c r="BK214" i="41"/>
  <c r="BK92" i="41"/>
  <c r="BK19" i="41"/>
  <c r="BK105" i="41"/>
  <c r="BK91" i="41"/>
  <c r="BK37" i="41"/>
  <c r="BK24" i="41"/>
  <c r="BK215" i="41"/>
  <c r="BK210" i="41"/>
  <c r="BK174" i="41"/>
  <c r="BK138" i="41"/>
  <c r="F58" i="6"/>
  <c r="BL97" i="41"/>
  <c r="BJ24" i="41"/>
  <c r="BJ97" i="41"/>
  <c r="BL24" i="41"/>
  <c r="BI97" i="41"/>
  <c r="BI24" i="41"/>
  <c r="BL215" i="41"/>
  <c r="BI213" i="41"/>
  <c r="BL213" i="41"/>
  <c r="BI215" i="41"/>
  <c r="BI214" i="41"/>
  <c r="BJ213" i="41"/>
  <c r="BI210" i="41"/>
  <c r="BI209" i="41"/>
  <c r="BJ208" i="41"/>
  <c r="BL210" i="41"/>
  <c r="BI208" i="41"/>
  <c r="BI174" i="41"/>
  <c r="BI173" i="41"/>
  <c r="BL208" i="41"/>
  <c r="BL172" i="41"/>
  <c r="BJ210" i="41"/>
  <c r="BJ172" i="41"/>
  <c r="BI138" i="41"/>
  <c r="BI137" i="41"/>
  <c r="BJ215" i="41"/>
  <c r="BI172" i="41"/>
  <c r="BL138" i="41"/>
  <c r="BI136" i="41"/>
  <c r="BJ174" i="41"/>
  <c r="BJ138" i="41"/>
  <c r="BJ106" i="41"/>
  <c r="BI105" i="41"/>
  <c r="BI96" i="41"/>
  <c r="BI93" i="41"/>
  <c r="BJ136" i="41"/>
  <c r="BJ96" i="41"/>
  <c r="BL136" i="41"/>
  <c r="BI106" i="41"/>
  <c r="BJ105" i="41"/>
  <c r="BL174" i="41"/>
  <c r="BL106" i="41"/>
  <c r="BL105" i="41"/>
  <c r="BL93" i="41"/>
  <c r="BI92" i="41"/>
  <c r="BI91" i="41"/>
  <c r="BL87" i="41"/>
  <c r="BL96" i="41"/>
  <c r="BJ93" i="41"/>
  <c r="BL92" i="41"/>
  <c r="BL91" i="41"/>
  <c r="BJ92" i="41"/>
  <c r="BJ91" i="41"/>
  <c r="BI87" i="41"/>
  <c r="BI78" i="41"/>
  <c r="BI75" i="41"/>
  <c r="BI74" i="41"/>
  <c r="BI73" i="41"/>
  <c r="BL69" i="41"/>
  <c r="BJ50" i="41"/>
  <c r="BL78" i="41"/>
  <c r="BL74" i="41"/>
  <c r="BJ69" i="41"/>
  <c r="BJ51" i="41"/>
  <c r="BJ42" i="41"/>
  <c r="BJ41" i="41"/>
  <c r="BJ37" i="41"/>
  <c r="BJ78" i="41"/>
  <c r="BJ74" i="41"/>
  <c r="BI69" i="41"/>
  <c r="BI51" i="41"/>
  <c r="BI50" i="41"/>
  <c r="BI42" i="41"/>
  <c r="BI41" i="41"/>
  <c r="BI38" i="41"/>
  <c r="BI37" i="41"/>
  <c r="BI36" i="41"/>
  <c r="BJ75" i="41"/>
  <c r="BJ73" i="41"/>
  <c r="BL51" i="41"/>
  <c r="BL50" i="41"/>
  <c r="BJ38" i="41"/>
  <c r="BL37" i="41"/>
  <c r="BJ36" i="41"/>
  <c r="BI20" i="41"/>
  <c r="BJ19" i="41"/>
  <c r="BL41" i="41"/>
  <c r="BL20" i="41"/>
  <c r="BI18" i="41"/>
  <c r="BL73" i="41"/>
  <c r="BL38" i="41"/>
  <c r="BJ32" i="41"/>
  <c r="BL23" i="41"/>
  <c r="BI19" i="41"/>
  <c r="BJ18" i="41"/>
  <c r="BJ87" i="41"/>
  <c r="BL75" i="41"/>
  <c r="BJ23" i="41"/>
  <c r="BL42" i="41"/>
  <c r="BL36" i="41"/>
  <c r="BI23" i="41"/>
  <c r="BJ20" i="41"/>
  <c r="BL19" i="41"/>
  <c r="BL32" i="41"/>
  <c r="BL18" i="41"/>
  <c r="BI32" i="41"/>
  <c r="BJ209" i="41"/>
  <c r="BL209" i="41"/>
  <c r="BL214" i="41"/>
  <c r="BJ214" i="41"/>
  <c r="BJ173" i="41"/>
  <c r="BL173" i="41"/>
  <c r="BL137" i="41"/>
  <c r="BJ137" i="41"/>
  <c r="J127" i="41"/>
  <c r="M137" i="41"/>
  <c r="I69" i="41"/>
  <c r="C16" i="6"/>
  <c r="C19" i="6" s="1"/>
  <c r="C48" i="6"/>
  <c r="V39" i="33"/>
  <c r="V59" i="33" s="1"/>
  <c r="AE61" i="33" s="1"/>
  <c r="J39" i="33"/>
  <c r="J59" i="33" s="1"/>
  <c r="S39" i="33"/>
  <c r="S59" i="33" s="1"/>
  <c r="G39" i="33"/>
  <c r="G59" i="33" s="1"/>
  <c r="P37" i="33"/>
  <c r="P36" i="33"/>
  <c r="P38" i="33"/>
  <c r="M37" i="33"/>
  <c r="M36" i="33"/>
  <c r="M38" i="33"/>
  <c r="D82" i="41"/>
  <c r="P34" i="41"/>
  <c r="P89" i="41"/>
  <c r="P168" i="41"/>
  <c r="P200" i="41"/>
  <c r="P22" i="41"/>
  <c r="P78" i="41"/>
  <c r="P110" i="41"/>
  <c r="P114" i="41"/>
  <c r="P213" i="41"/>
  <c r="P128" i="41"/>
  <c r="P199" i="41"/>
  <c r="P23" i="41"/>
  <c r="P73" i="41"/>
  <c r="P36" i="41"/>
  <c r="P42" i="41"/>
  <c r="P83" i="41"/>
  <c r="P113" i="41"/>
  <c r="P92" i="41"/>
  <c r="P107" i="41"/>
  <c r="P101" i="41"/>
  <c r="P95" i="41"/>
  <c r="P109" i="41"/>
  <c r="P117" i="41"/>
  <c r="P118" i="41"/>
  <c r="P172" i="41"/>
  <c r="P28" i="41"/>
  <c r="P63" i="41"/>
  <c r="P51" i="41"/>
  <c r="P137" i="41"/>
  <c r="P173" i="41"/>
  <c r="P37" i="41"/>
  <c r="P50" i="41"/>
  <c r="P56" i="41"/>
  <c r="P82" i="41"/>
  <c r="P162" i="41"/>
  <c r="P136" i="41"/>
  <c r="P214" i="41"/>
  <c r="P33" i="41"/>
  <c r="P14" i="41"/>
  <c r="P44" i="41"/>
  <c r="P52" i="41"/>
  <c r="P91" i="41"/>
  <c r="P96" i="41"/>
  <c r="P111" i="41"/>
  <c r="P127" i="41"/>
  <c r="P208" i="41"/>
  <c r="P169" i="41"/>
  <c r="P204" i="41"/>
  <c r="P210" i="41"/>
  <c r="P15" i="41"/>
  <c r="P16" i="41"/>
  <c r="P27" i="41"/>
  <c r="P18" i="41"/>
  <c r="P32" i="41"/>
  <c r="P45" i="41"/>
  <c r="P40" i="41"/>
  <c r="P54" i="41"/>
  <c r="P59" i="41"/>
  <c r="P64" i="41"/>
  <c r="P74" i="41"/>
  <c r="P70" i="41"/>
  <c r="P77" i="41"/>
  <c r="P87" i="41"/>
  <c r="P99" i="41"/>
  <c r="P97" i="41"/>
  <c r="P115" i="41"/>
  <c r="P119" i="41"/>
  <c r="S132" i="41"/>
  <c r="S131" i="41"/>
  <c r="S128" i="41"/>
  <c r="S133" i="41"/>
  <c r="S147" i="41"/>
  <c r="S157" i="41"/>
  <c r="S126" i="41"/>
  <c r="S143" i="41"/>
  <c r="S146" i="41"/>
  <c r="S153" i="41"/>
  <c r="S156" i="41"/>
  <c r="S164" i="41"/>
  <c r="S127" i="41"/>
  <c r="S158" i="41"/>
  <c r="S169" i="41"/>
  <c r="S205" i="41"/>
  <c r="S219" i="41"/>
  <c r="S218" i="41"/>
  <c r="S229" i="41"/>
  <c r="S141" i="41"/>
  <c r="S152" i="41"/>
  <c r="S162" i="41"/>
  <c r="S194" i="41"/>
  <c r="S198" i="41"/>
  <c r="S220" i="41"/>
  <c r="S230" i="41"/>
  <c r="S148" i="41"/>
  <c r="S203" i="41"/>
  <c r="S223" i="41"/>
  <c r="S151" i="41"/>
  <c r="S163" i="41"/>
  <c r="S168" i="41"/>
  <c r="S179" i="41"/>
  <c r="S200" i="41"/>
  <c r="S225" i="41"/>
  <c r="S228" i="41"/>
  <c r="S167" i="41"/>
  <c r="S199" i="41"/>
  <c r="S224" i="41"/>
  <c r="S189" i="41"/>
  <c r="S204" i="41"/>
  <c r="S142" i="41"/>
  <c r="P62" i="41"/>
  <c r="P24" i="41"/>
  <c r="P38" i="41"/>
  <c r="P58" i="41"/>
  <c r="P88" i="41"/>
  <c r="P105" i="41"/>
  <c r="P106" i="41"/>
  <c r="P126" i="41"/>
  <c r="P205" i="41"/>
  <c r="P163" i="41"/>
  <c r="P138" i="41"/>
  <c r="P167" i="41"/>
  <c r="P164" i="41"/>
  <c r="P174" i="41"/>
  <c r="P198" i="41"/>
  <c r="P203" i="41"/>
  <c r="P209" i="41"/>
  <c r="P215" i="41"/>
  <c r="P20" i="41"/>
  <c r="P19" i="41"/>
  <c r="P26" i="41"/>
  <c r="P71" i="41"/>
  <c r="P81" i="41"/>
  <c r="P41" i="41"/>
  <c r="P46" i="41"/>
  <c r="P55" i="41"/>
  <c r="P60" i="41"/>
  <c r="P69" i="41"/>
  <c r="P75" i="41"/>
  <c r="P79" i="41"/>
  <c r="P93" i="41"/>
  <c r="P100" i="41"/>
  <c r="T8" i="41"/>
  <c r="Q115" i="41"/>
  <c r="Q54" i="41"/>
  <c r="BJ14" i="41"/>
  <c r="BL14" i="41"/>
  <c r="Q27" i="41"/>
  <c r="Q16" i="41"/>
  <c r="BI14" i="41"/>
  <c r="BM7" i="41"/>
  <c r="Q187" i="41" l="1"/>
  <c r="Q184" i="41"/>
  <c r="Q88" i="41"/>
  <c r="Q269" i="41"/>
  <c r="Q247" i="41"/>
  <c r="Q193" i="41"/>
  <c r="Q272" i="41"/>
  <c r="Q248" i="41"/>
  <c r="Q273" i="41"/>
  <c r="Q275" i="41"/>
  <c r="Q253" i="41"/>
  <c r="BM255" i="41"/>
  <c r="BO254" i="41"/>
  <c r="BP253" i="41"/>
  <c r="BP252" i="41"/>
  <c r="BM251" i="41"/>
  <c r="BP255" i="41"/>
  <c r="BN254" i="41"/>
  <c r="BO253" i="41"/>
  <c r="BO252" i="41"/>
  <c r="BP251" i="41"/>
  <c r="BN250" i="41"/>
  <c r="BO249" i="41"/>
  <c r="BO255" i="41"/>
  <c r="BO250" i="41"/>
  <c r="BP249" i="41"/>
  <c r="BM248" i="41"/>
  <c r="BN247" i="41"/>
  <c r="BO246" i="41"/>
  <c r="BN255" i="41"/>
  <c r="BP254" i="41"/>
  <c r="BM250" i="41"/>
  <c r="BN249" i="41"/>
  <c r="BP248" i="41"/>
  <c r="BM247" i="41"/>
  <c r="BN246" i="41"/>
  <c r="BP277" i="41"/>
  <c r="BO276" i="41"/>
  <c r="BP275" i="41"/>
  <c r="BM274" i="41"/>
  <c r="BN273" i="41"/>
  <c r="BP272" i="41"/>
  <c r="BM254" i="41"/>
  <c r="BN253" i="41"/>
  <c r="BM249" i="41"/>
  <c r="BM246" i="41"/>
  <c r="BO277" i="41"/>
  <c r="BN276" i="41"/>
  <c r="BO275" i="41"/>
  <c r="BN252" i="41"/>
  <c r="BO251" i="41"/>
  <c r="BO248" i="41"/>
  <c r="BP247" i="41"/>
  <c r="BM275" i="41"/>
  <c r="BN274" i="41"/>
  <c r="BP250" i="41"/>
  <c r="BM276" i="41"/>
  <c r="BP273" i="41"/>
  <c r="BM272" i="41"/>
  <c r="BN271" i="41"/>
  <c r="BO270" i="41"/>
  <c r="BP269" i="41"/>
  <c r="BM268" i="41"/>
  <c r="BN272" i="41"/>
  <c r="BP271" i="41"/>
  <c r="BM252" i="41"/>
  <c r="R252" i="41" s="1"/>
  <c r="BN248" i="41"/>
  <c r="BO247" i="41"/>
  <c r="BP246" i="41"/>
  <c r="BO273" i="41"/>
  <c r="BO272" i="41"/>
  <c r="BM271" i="41"/>
  <c r="BN270" i="41"/>
  <c r="BO269" i="41"/>
  <c r="BP268" i="41"/>
  <c r="BM253" i="41"/>
  <c r="BN277" i="41"/>
  <c r="BN275" i="41"/>
  <c r="BP274" i="41"/>
  <c r="BM273" i="41"/>
  <c r="BM277" i="41"/>
  <c r="R277" i="41" s="1"/>
  <c r="BM270" i="41"/>
  <c r="BP276" i="41"/>
  <c r="BM269" i="41"/>
  <c r="BN268" i="41"/>
  <c r="BN251" i="41"/>
  <c r="BO274" i="41"/>
  <c r="BO271" i="41"/>
  <c r="BP270" i="41"/>
  <c r="BN269" i="41"/>
  <c r="BO268" i="41"/>
  <c r="BN280" i="41"/>
  <c r="BP280" i="41"/>
  <c r="BP281" i="41"/>
  <c r="BP282" i="41"/>
  <c r="BP283" i="41"/>
  <c r="BM281" i="41"/>
  <c r="BM282" i="41"/>
  <c r="BM283" i="41"/>
  <c r="BM280" i="41"/>
  <c r="BN281" i="41"/>
  <c r="BN282" i="41"/>
  <c r="BN283" i="41"/>
  <c r="BO281" i="41"/>
  <c r="BO283" i="41"/>
  <c r="BO280" i="41"/>
  <c r="BO282" i="41"/>
  <c r="BO192" i="41"/>
  <c r="BO183" i="41"/>
  <c r="BO109" i="41"/>
  <c r="BO89" i="41"/>
  <c r="BO193" i="41"/>
  <c r="BO177" i="41"/>
  <c r="BO182" i="41"/>
  <c r="BO188" i="41"/>
  <c r="BO178" i="41"/>
  <c r="BO55" i="41"/>
  <c r="BO187" i="41"/>
  <c r="BO110" i="41"/>
  <c r="BO88" i="41"/>
  <c r="BO54" i="41"/>
  <c r="BN192" i="41"/>
  <c r="BM187" i="41"/>
  <c r="BM183" i="41"/>
  <c r="BM182" i="41"/>
  <c r="BM178" i="41"/>
  <c r="BM109" i="41"/>
  <c r="BP89" i="41"/>
  <c r="BM55" i="41"/>
  <c r="BN54" i="41"/>
  <c r="BN110" i="41"/>
  <c r="BN88" i="41"/>
  <c r="BP55" i="41"/>
  <c r="BP192" i="41"/>
  <c r="BN187" i="41"/>
  <c r="BM110" i="41"/>
  <c r="BN109" i="41"/>
  <c r="BN55" i="41"/>
  <c r="BP54" i="41"/>
  <c r="BM192" i="41"/>
  <c r="BP184" i="41"/>
  <c r="BP177" i="41"/>
  <c r="BP110" i="41"/>
  <c r="BN89" i="41"/>
  <c r="BP88" i="41"/>
  <c r="BM54" i="41"/>
  <c r="BN188" i="41"/>
  <c r="BP187" i="41"/>
  <c r="BN184" i="41"/>
  <c r="BP182" i="41"/>
  <c r="BN177" i="41"/>
  <c r="BP109" i="41"/>
  <c r="BM89" i="41"/>
  <c r="BM193" i="41"/>
  <c r="BM188" i="41"/>
  <c r="BM184" i="41"/>
  <c r="BN182" i="41"/>
  <c r="BM177" i="41"/>
  <c r="R177" i="41" s="1"/>
  <c r="BM88" i="41"/>
  <c r="BP178" i="41"/>
  <c r="BN178" i="41"/>
  <c r="BN183" i="41"/>
  <c r="BP183" i="41"/>
  <c r="BP193" i="41"/>
  <c r="BP188" i="41"/>
  <c r="BO184" i="41"/>
  <c r="BN193" i="41"/>
  <c r="Q283" i="41"/>
  <c r="Q268" i="41"/>
  <c r="Q277" i="41"/>
  <c r="Q249" i="41"/>
  <c r="Q250" i="41"/>
  <c r="Q254" i="41"/>
  <c r="Q251" i="41"/>
  <c r="Q255" i="41"/>
  <c r="Q281" i="41"/>
  <c r="O137" i="41"/>
  <c r="BA231" i="41"/>
  <c r="BA292" i="41" s="1"/>
  <c r="Q178" i="41"/>
  <c r="Q246" i="41"/>
  <c r="Q177" i="41"/>
  <c r="Q183" i="41"/>
  <c r="Q182" i="41"/>
  <c r="Q192" i="41"/>
  <c r="Q282" i="41"/>
  <c r="Q271" i="41"/>
  <c r="Q274" i="41"/>
  <c r="AW292" i="41"/>
  <c r="AW294" i="41"/>
  <c r="AZ292" i="41"/>
  <c r="AU292" i="41"/>
  <c r="I173" i="41"/>
  <c r="AC231" i="41"/>
  <c r="AC292" i="41" s="1"/>
  <c r="AC4" i="41" s="1"/>
  <c r="AC3" i="41" s="1"/>
  <c r="AJ294" i="41"/>
  <c r="I8" i="45" s="1"/>
  <c r="AF17" i="49"/>
  <c r="AF33" i="49" s="1"/>
  <c r="BJ120" i="41"/>
  <c r="BL231" i="41"/>
  <c r="AR294" i="41"/>
  <c r="I10" i="45" s="1"/>
  <c r="J10" i="45" s="1"/>
  <c r="AD17" i="49"/>
  <c r="AD33" i="49" s="1"/>
  <c r="BH292" i="41"/>
  <c r="Q17" i="49"/>
  <c r="Q33" i="49" s="1"/>
  <c r="BI120" i="41"/>
  <c r="AG292" i="41"/>
  <c r="AG294" i="41"/>
  <c r="AG4" i="41" s="1"/>
  <c r="AG3" i="41" s="1"/>
  <c r="AS292" i="41"/>
  <c r="BK231" i="41"/>
  <c r="BF292" i="41"/>
  <c r="BJ231" i="41"/>
  <c r="BK120" i="41"/>
  <c r="BE294" i="41"/>
  <c r="F14" i="45" s="1"/>
  <c r="BG292" i="41"/>
  <c r="BI231" i="41"/>
  <c r="AK294" i="41"/>
  <c r="AO4" i="41"/>
  <c r="AO3" i="41" s="1"/>
  <c r="BL120" i="41"/>
  <c r="BF294" i="41"/>
  <c r="G14" i="45" s="1"/>
  <c r="BG294" i="41"/>
  <c r="H14" i="45" s="1"/>
  <c r="BH294" i="41"/>
  <c r="I14" i="45" s="1"/>
  <c r="BL290" i="41"/>
  <c r="BJ290" i="41"/>
  <c r="BK290" i="41"/>
  <c r="BI290" i="41"/>
  <c r="BE292" i="41"/>
  <c r="I82" i="41"/>
  <c r="D120" i="41"/>
  <c r="D292" i="41" s="1"/>
  <c r="Q265" i="41"/>
  <c r="Q245" i="41"/>
  <c r="Q264" i="41"/>
  <c r="Q266" i="41"/>
  <c r="Q242" i="41"/>
  <c r="Q243" i="41"/>
  <c r="Q267" i="41"/>
  <c r="Q262" i="41"/>
  <c r="Q263" i="41"/>
  <c r="BN262" i="41"/>
  <c r="BN263" i="41"/>
  <c r="BN264" i="41"/>
  <c r="BN265" i="41"/>
  <c r="BN266" i="41"/>
  <c r="BO262" i="41"/>
  <c r="BP262" i="41"/>
  <c r="BM263" i="41"/>
  <c r="BP265" i="41"/>
  <c r="BO266" i="41"/>
  <c r="BO263" i="41"/>
  <c r="BM264" i="41"/>
  <c r="BP266" i="41"/>
  <c r="BP267" i="41"/>
  <c r="BP263" i="41"/>
  <c r="BO264" i="41"/>
  <c r="BM265" i="41"/>
  <c r="BM267" i="41"/>
  <c r="BN267" i="41"/>
  <c r="BM262" i="41"/>
  <c r="BP264" i="41"/>
  <c r="BM266" i="41"/>
  <c r="BO267" i="41"/>
  <c r="BP242" i="41"/>
  <c r="BM243" i="41"/>
  <c r="BN244" i="41"/>
  <c r="BN245" i="41"/>
  <c r="BM242" i="41"/>
  <c r="BN243" i="41"/>
  <c r="BM244" i="41"/>
  <c r="BO245" i="41"/>
  <c r="BO242" i="41"/>
  <c r="BP243" i="41"/>
  <c r="BM245" i="41"/>
  <c r="BO265" i="41"/>
  <c r="BN242" i="41"/>
  <c r="BO243" i="41"/>
  <c r="BO244" i="41"/>
  <c r="BP245" i="41"/>
  <c r="BP244" i="41"/>
  <c r="Q244" i="41"/>
  <c r="T284" i="41"/>
  <c r="T286" i="41"/>
  <c r="T288" i="41"/>
  <c r="T285" i="41"/>
  <c r="T287" i="41"/>
  <c r="T289" i="41"/>
  <c r="Q260" i="41"/>
  <c r="Q261" i="41"/>
  <c r="Q258" i="41"/>
  <c r="BO258" i="41"/>
  <c r="BM259" i="41"/>
  <c r="BO260" i="41"/>
  <c r="BP258" i="41"/>
  <c r="BN259" i="41"/>
  <c r="BP260" i="41"/>
  <c r="BM258" i="41"/>
  <c r="BO259" i="41"/>
  <c r="BN258" i="41"/>
  <c r="BP259" i="41"/>
  <c r="BN260" i="41"/>
  <c r="BO261" i="41"/>
  <c r="BP261" i="41"/>
  <c r="BM261" i="41"/>
  <c r="BM260" i="41"/>
  <c r="BN261" i="41"/>
  <c r="Q237" i="41"/>
  <c r="Q239" i="41"/>
  <c r="Q259" i="41"/>
  <c r="Q238" i="41"/>
  <c r="BP236" i="41"/>
  <c r="BN237" i="41"/>
  <c r="BP238" i="41"/>
  <c r="BN236" i="41"/>
  <c r="BP237" i="41"/>
  <c r="BN238" i="41"/>
  <c r="BO237" i="41"/>
  <c r="BM238" i="41"/>
  <c r="BM239" i="41"/>
  <c r="BO240" i="41"/>
  <c r="BM241" i="41"/>
  <c r="BO238" i="41"/>
  <c r="BN239" i="41"/>
  <c r="BP240" i="41"/>
  <c r="BM236" i="41"/>
  <c r="BO239" i="41"/>
  <c r="BM240" i="41"/>
  <c r="BO241" i="41"/>
  <c r="BO236" i="41"/>
  <c r="BN241" i="41"/>
  <c r="BM237" i="41"/>
  <c r="BN240" i="41"/>
  <c r="BP241" i="41"/>
  <c r="BP239" i="41"/>
  <c r="Q236" i="41"/>
  <c r="Q240" i="41"/>
  <c r="Q241" i="41"/>
  <c r="BO214" i="41"/>
  <c r="BO173" i="41"/>
  <c r="BO96" i="41"/>
  <c r="BO91" i="41"/>
  <c r="BO78" i="41"/>
  <c r="BO208" i="41"/>
  <c r="BO136" i="41"/>
  <c r="BO105" i="41"/>
  <c r="BO97" i="41"/>
  <c r="BO92" i="41"/>
  <c r="BO87" i="41"/>
  <c r="BO74" i="41"/>
  <c r="BO172" i="41"/>
  <c r="BO106" i="41"/>
  <c r="BO51" i="41"/>
  <c r="BO38" i="41"/>
  <c r="BO20" i="41"/>
  <c r="BO213" i="41"/>
  <c r="BO73" i="41"/>
  <c r="BO41" i="41"/>
  <c r="BO18" i="41"/>
  <c r="BO137" i="41"/>
  <c r="BO93" i="41"/>
  <c r="BO75" i="41"/>
  <c r="BO69" i="41"/>
  <c r="BO50" i="41"/>
  <c r="BO42" i="41"/>
  <c r="BO37" i="41"/>
  <c r="BO32" i="41"/>
  <c r="BO24" i="41"/>
  <c r="BO19" i="41"/>
  <c r="BO14" i="41"/>
  <c r="BO36" i="41"/>
  <c r="BO23" i="41"/>
  <c r="BO209" i="41"/>
  <c r="BO215" i="41"/>
  <c r="BO174" i="41"/>
  <c r="BO210" i="41"/>
  <c r="BO138" i="41"/>
  <c r="Q209" i="41"/>
  <c r="F11" i="45"/>
  <c r="J11" i="45" s="1"/>
  <c r="AS4" i="41"/>
  <c r="AS3" i="41" s="1"/>
  <c r="Q214" i="41"/>
  <c r="Q208" i="41"/>
  <c r="BN24" i="41"/>
  <c r="BP97" i="41"/>
  <c r="BM24" i="41"/>
  <c r="BP24" i="41"/>
  <c r="BN97" i="41"/>
  <c r="BM97" i="41"/>
  <c r="Q32" i="41"/>
  <c r="Q136" i="41"/>
  <c r="BP215" i="41"/>
  <c r="BM213" i="41"/>
  <c r="BP210" i="41"/>
  <c r="BM214" i="41"/>
  <c r="BP213" i="41"/>
  <c r="BM209" i="41"/>
  <c r="BM215" i="41"/>
  <c r="BN213" i="41"/>
  <c r="BM210" i="41"/>
  <c r="BN208" i="41"/>
  <c r="BN210" i="41"/>
  <c r="BP208" i="41"/>
  <c r="BN215" i="41"/>
  <c r="BM174" i="41"/>
  <c r="BN172" i="41"/>
  <c r="BM173" i="41"/>
  <c r="BP172" i="41"/>
  <c r="BP174" i="41"/>
  <c r="BM138" i="41"/>
  <c r="BN174" i="41"/>
  <c r="BP138" i="41"/>
  <c r="BM136" i="41"/>
  <c r="BM208" i="41"/>
  <c r="BN138" i="41"/>
  <c r="BM105" i="41"/>
  <c r="BM96" i="41"/>
  <c r="BM93" i="41"/>
  <c r="BN106" i="41"/>
  <c r="BN105" i="41"/>
  <c r="BP93" i="41"/>
  <c r="BM137" i="41"/>
  <c r="BP136" i="41"/>
  <c r="BM172" i="41"/>
  <c r="BP106" i="41"/>
  <c r="BN96" i="41"/>
  <c r="BM92" i="41"/>
  <c r="BM91" i="41"/>
  <c r="BP87" i="41"/>
  <c r="BP92" i="41"/>
  <c r="BP91" i="41"/>
  <c r="BP105" i="41"/>
  <c r="BP96" i="41"/>
  <c r="BN93" i="41"/>
  <c r="BN92" i="41"/>
  <c r="BN91" i="41"/>
  <c r="BM87" i="41"/>
  <c r="BM78" i="41"/>
  <c r="BM75" i="41"/>
  <c r="BM74" i="41"/>
  <c r="BM73" i="41"/>
  <c r="BP69" i="41"/>
  <c r="BN50" i="41"/>
  <c r="BP75" i="41"/>
  <c r="BP73" i="41"/>
  <c r="BP51" i="41"/>
  <c r="BP50" i="41"/>
  <c r="BN136" i="41"/>
  <c r="BN87" i="41"/>
  <c r="BN75" i="41"/>
  <c r="BN73" i="41"/>
  <c r="BN69" i="41"/>
  <c r="BN51" i="41"/>
  <c r="BM42" i="41"/>
  <c r="BM41" i="41"/>
  <c r="BM38" i="41"/>
  <c r="BM37" i="41"/>
  <c r="BM36" i="41"/>
  <c r="BN78" i="41"/>
  <c r="BN74" i="41"/>
  <c r="BN42" i="41"/>
  <c r="BN41" i="41"/>
  <c r="BN38" i="41"/>
  <c r="BN37" i="41"/>
  <c r="BP78" i="41"/>
  <c r="BM51" i="41"/>
  <c r="BM50" i="41"/>
  <c r="BP42" i="41"/>
  <c r="BP41" i="41"/>
  <c r="BP36" i="41"/>
  <c r="BP32" i="41"/>
  <c r="BM20" i="41"/>
  <c r="BN19" i="41"/>
  <c r="BP18" i="41"/>
  <c r="BM69" i="41"/>
  <c r="BN36" i="41"/>
  <c r="BN32" i="41"/>
  <c r="BN18" i="41"/>
  <c r="BP74" i="41"/>
  <c r="BP37" i="41"/>
  <c r="BM32" i="41"/>
  <c r="BN23" i="41"/>
  <c r="BP20" i="41"/>
  <c r="BM18" i="41"/>
  <c r="BP38" i="41"/>
  <c r="BM23" i="41"/>
  <c r="BN20" i="41"/>
  <c r="BP19" i="41"/>
  <c r="BP23" i="41"/>
  <c r="BM19" i="41"/>
  <c r="BP173" i="41"/>
  <c r="BN209" i="41"/>
  <c r="BN214" i="41"/>
  <c r="BN173" i="41"/>
  <c r="BP214" i="41"/>
  <c r="BM106" i="41"/>
  <c r="BP209" i="41"/>
  <c r="BP137" i="41"/>
  <c r="BN137" i="41"/>
  <c r="C58" i="6"/>
  <c r="AH61" i="33"/>
  <c r="Y61" i="33"/>
  <c r="AB61" i="33"/>
  <c r="M39" i="33"/>
  <c r="M59" i="33" s="1"/>
  <c r="P39" i="33"/>
  <c r="P59" i="33" s="1"/>
  <c r="Q169" i="41"/>
  <c r="Q174" i="41"/>
  <c r="Q23" i="41"/>
  <c r="Q89" i="41"/>
  <c r="Q78" i="41"/>
  <c r="Q128" i="41"/>
  <c r="Q162" i="41"/>
  <c r="Q172" i="41"/>
  <c r="Q215" i="41"/>
  <c r="Q14" i="41"/>
  <c r="Q24" i="41"/>
  <c r="Q20" i="41"/>
  <c r="Q73" i="41"/>
  <c r="Q44" i="41"/>
  <c r="Q64" i="41"/>
  <c r="Q92" i="41"/>
  <c r="Q79" i="41"/>
  <c r="Q118" i="41"/>
  <c r="Q82" i="41"/>
  <c r="Q58" i="41"/>
  <c r="Q96" i="41"/>
  <c r="Q199" i="41"/>
  <c r="Q45" i="41"/>
  <c r="Q40" i="41"/>
  <c r="Q46" i="41"/>
  <c r="Q59" i="41"/>
  <c r="Q107" i="41"/>
  <c r="Q173" i="41"/>
  <c r="Q126" i="41"/>
  <c r="Q213" i="41"/>
  <c r="Q203" i="41"/>
  <c r="Q210" i="41"/>
  <c r="Q19" i="41"/>
  <c r="Q28" i="41"/>
  <c r="Q33" i="41"/>
  <c r="Q77" i="41"/>
  <c r="Q74" i="41"/>
  <c r="Q41" i="41"/>
  <c r="Q50" i="41"/>
  <c r="Q55" i="41"/>
  <c r="Q60" i="41"/>
  <c r="Q70" i="41"/>
  <c r="Q63" i="41"/>
  <c r="Q71" i="41"/>
  <c r="Q81" i="41"/>
  <c r="Q106" i="41"/>
  <c r="Q117" i="41"/>
  <c r="Q93" i="41"/>
  <c r="Q99" i="41"/>
  <c r="Q111" i="41"/>
  <c r="Q114" i="41"/>
  <c r="Q127" i="41"/>
  <c r="Q168" i="41"/>
  <c r="Q38" i="41"/>
  <c r="Q52" i="41"/>
  <c r="Q105" i="41"/>
  <c r="Q198" i="41"/>
  <c r="Q26" i="41"/>
  <c r="Q69" i="41"/>
  <c r="Q83" i="41"/>
  <c r="Q109" i="41"/>
  <c r="T133" i="41"/>
  <c r="T132" i="41"/>
  <c r="T131" i="41"/>
  <c r="T127" i="41"/>
  <c r="T148" i="41"/>
  <c r="T158" i="41"/>
  <c r="T128" i="41"/>
  <c r="T147" i="41"/>
  <c r="T157" i="41"/>
  <c r="T141" i="41"/>
  <c r="T152" i="41"/>
  <c r="T162" i="41"/>
  <c r="T194" i="41"/>
  <c r="T198" i="41"/>
  <c r="T220" i="41"/>
  <c r="T230" i="41"/>
  <c r="T126" i="41"/>
  <c r="T143" i="41"/>
  <c r="T146" i="41"/>
  <c r="T164" i="41"/>
  <c r="T167" i="41"/>
  <c r="T199" i="41"/>
  <c r="T203" i="41"/>
  <c r="T224" i="41"/>
  <c r="T223" i="41"/>
  <c r="T151" i="41"/>
  <c r="T163" i="41"/>
  <c r="T168" i="41"/>
  <c r="T179" i="41"/>
  <c r="T200" i="41"/>
  <c r="T225" i="41"/>
  <c r="T228" i="41"/>
  <c r="T205" i="41"/>
  <c r="T219" i="41"/>
  <c r="T142" i="41"/>
  <c r="T189" i="41"/>
  <c r="T204" i="41"/>
  <c r="T153" i="41"/>
  <c r="T218" i="41"/>
  <c r="T229" i="41"/>
  <c r="T156" i="41"/>
  <c r="T169" i="41"/>
  <c r="Q163" i="41"/>
  <c r="Q137" i="41"/>
  <c r="Q167" i="41"/>
  <c r="Q138" i="41"/>
  <c r="Q164" i="41"/>
  <c r="Q205" i="41"/>
  <c r="Q200" i="41"/>
  <c r="Q204" i="41"/>
  <c r="Q15" i="41"/>
  <c r="Q22" i="41"/>
  <c r="Q18" i="41"/>
  <c r="Q36" i="41"/>
  <c r="Q34" i="41"/>
  <c r="Q37" i="41"/>
  <c r="Q42" i="41"/>
  <c r="Q51" i="41"/>
  <c r="Q56" i="41"/>
  <c r="Q62" i="41"/>
  <c r="Q87" i="41"/>
  <c r="Q75" i="41"/>
  <c r="Q91" i="41"/>
  <c r="Q100" i="41"/>
  <c r="Q97" i="41"/>
  <c r="Q95" i="41"/>
  <c r="Q101" i="41"/>
  <c r="Q110" i="41"/>
  <c r="Q113" i="41"/>
  <c r="Q119" i="41"/>
  <c r="U8" i="41"/>
  <c r="R119" i="41"/>
  <c r="R110" i="41"/>
  <c r="BQ7" i="41"/>
  <c r="BN14" i="41"/>
  <c r="BP14" i="41"/>
  <c r="BM14" i="41"/>
  <c r="R274" i="41" l="1"/>
  <c r="R193" i="41"/>
  <c r="R178" i="41"/>
  <c r="R270" i="41"/>
  <c r="R246" i="41"/>
  <c r="BA294" i="41"/>
  <c r="F13" i="45" s="1"/>
  <c r="J13" i="45" s="1"/>
  <c r="R184" i="41"/>
  <c r="R192" i="41"/>
  <c r="R183" i="41"/>
  <c r="R280" i="41"/>
  <c r="R269" i="41"/>
  <c r="R273" i="41"/>
  <c r="R253" i="41"/>
  <c r="R271" i="41"/>
  <c r="R250" i="41"/>
  <c r="R251" i="41"/>
  <c r="R255" i="41"/>
  <c r="BA4" i="41"/>
  <c r="BA3" i="41" s="1"/>
  <c r="F12" i="45"/>
  <c r="J12" i="45" s="1"/>
  <c r="AW4" i="41"/>
  <c r="AW3" i="41" s="1"/>
  <c r="R188" i="41"/>
  <c r="R187" i="41"/>
  <c r="R283" i="41"/>
  <c r="R268" i="41"/>
  <c r="R272" i="41"/>
  <c r="R254" i="41"/>
  <c r="R247" i="41"/>
  <c r="R248" i="41"/>
  <c r="R282" i="41"/>
  <c r="R275" i="41"/>
  <c r="BQ255" i="41"/>
  <c r="BQ251" i="41"/>
  <c r="BR254" i="41"/>
  <c r="BR250" i="41"/>
  <c r="BQ254" i="41"/>
  <c r="BR252" i="41"/>
  <c r="BQ248" i="41"/>
  <c r="BQ253" i="41"/>
  <c r="BQ252" i="41"/>
  <c r="BQ247" i="41"/>
  <c r="BQ274" i="41"/>
  <c r="BQ250" i="41"/>
  <c r="BQ246" i="41"/>
  <c r="BR277" i="41"/>
  <c r="BQ276" i="41"/>
  <c r="BQ272" i="41"/>
  <c r="BQ268" i="41"/>
  <c r="BQ249" i="41"/>
  <c r="BQ277" i="41"/>
  <c r="S277" i="41" s="1"/>
  <c r="BQ275" i="41"/>
  <c r="BQ271" i="41"/>
  <c r="BR272" i="41"/>
  <c r="BQ273" i="41"/>
  <c r="S273" i="41" s="1"/>
  <c r="BQ270" i="41"/>
  <c r="BQ269" i="41"/>
  <c r="BS254" i="41"/>
  <c r="BT253" i="41"/>
  <c r="BR247" i="41"/>
  <c r="BR246" i="41"/>
  <c r="BS277" i="41"/>
  <c r="BR276" i="41"/>
  <c r="BS274" i="41"/>
  <c r="BS273" i="41"/>
  <c r="BT273" i="41"/>
  <c r="BR271" i="41"/>
  <c r="BT270" i="41"/>
  <c r="BT269" i="41"/>
  <c r="BR255" i="41"/>
  <c r="BS255" i="41"/>
  <c r="BT254" i="41"/>
  <c r="BS252" i="41"/>
  <c r="BS251" i="41"/>
  <c r="BT251" i="41"/>
  <c r="BR249" i="41"/>
  <c r="BS249" i="41"/>
  <c r="BS248" i="41"/>
  <c r="BS247" i="41"/>
  <c r="BS246" i="41"/>
  <c r="BS276" i="41"/>
  <c r="BS275" i="41"/>
  <c r="BT275" i="41"/>
  <c r="BT274" i="41"/>
  <c r="BR273" i="41"/>
  <c r="BS272" i="41"/>
  <c r="BT271" i="41"/>
  <c r="BS268" i="41"/>
  <c r="BR280" i="41"/>
  <c r="BR253" i="41"/>
  <c r="BT248" i="41"/>
  <c r="BT246" i="41"/>
  <c r="BT277" i="41"/>
  <c r="BR274" i="41"/>
  <c r="BS269" i="41"/>
  <c r="BT281" i="41"/>
  <c r="BT282" i="41"/>
  <c r="BT283" i="41"/>
  <c r="BR283" i="41"/>
  <c r="BT250" i="41"/>
  <c r="BT276" i="41"/>
  <c r="BR270" i="41"/>
  <c r="BQ280" i="41"/>
  <c r="BQ281" i="41"/>
  <c r="BQ282" i="41"/>
  <c r="BQ283" i="41"/>
  <c r="BT252" i="41"/>
  <c r="BS250" i="41"/>
  <c r="BR248" i="41"/>
  <c r="BT247" i="41"/>
  <c r="BR275" i="41"/>
  <c r="BS271" i="41"/>
  <c r="BS270" i="41"/>
  <c r="BR268" i="41"/>
  <c r="BS280" i="41"/>
  <c r="BR281" i="41"/>
  <c r="BR282" i="41"/>
  <c r="BT255" i="41"/>
  <c r="BS253" i="41"/>
  <c r="BR251" i="41"/>
  <c r="BT280" i="41"/>
  <c r="BS282" i="41"/>
  <c r="BT249" i="41"/>
  <c r="BT272" i="41"/>
  <c r="BR269" i="41"/>
  <c r="BS281" i="41"/>
  <c r="BT268" i="41"/>
  <c r="BS283" i="41"/>
  <c r="BS192" i="41"/>
  <c r="BS183" i="41"/>
  <c r="BS109" i="41"/>
  <c r="BS188" i="41"/>
  <c r="BS89" i="41"/>
  <c r="BS55" i="41"/>
  <c r="BS187" i="41"/>
  <c r="BS110" i="41"/>
  <c r="BS88" i="41"/>
  <c r="BS182" i="41"/>
  <c r="BS178" i="41"/>
  <c r="BS193" i="41"/>
  <c r="BS177" i="41"/>
  <c r="BS54" i="41"/>
  <c r="BT192" i="41"/>
  <c r="BR188" i="41"/>
  <c r="BR187" i="41"/>
  <c r="BQ184" i="41"/>
  <c r="BR182" i="41"/>
  <c r="BQ177" i="41"/>
  <c r="BQ110" i="41"/>
  <c r="BR109" i="41"/>
  <c r="BQ88" i="41"/>
  <c r="BR55" i="41"/>
  <c r="BT54" i="41"/>
  <c r="BT177" i="41"/>
  <c r="BR89" i="41"/>
  <c r="BT187" i="41"/>
  <c r="BR184" i="41"/>
  <c r="BT182" i="41"/>
  <c r="BR177" i="41"/>
  <c r="BQ89" i="41"/>
  <c r="BR88" i="41"/>
  <c r="BR192" i="41"/>
  <c r="BQ188" i="41"/>
  <c r="BQ187" i="41"/>
  <c r="S187" i="41" s="1"/>
  <c r="BQ182" i="41"/>
  <c r="BQ109" i="41"/>
  <c r="BT89" i="41"/>
  <c r="BQ55" i="41"/>
  <c r="BR54" i="41"/>
  <c r="BQ193" i="41"/>
  <c r="BQ192" i="41"/>
  <c r="S192" i="41" s="1"/>
  <c r="BT184" i="41"/>
  <c r="BT110" i="41"/>
  <c r="BT88" i="41"/>
  <c r="BQ54" i="41"/>
  <c r="BQ183" i="41"/>
  <c r="BQ178" i="41"/>
  <c r="BR110" i="41"/>
  <c r="BT109" i="41"/>
  <c r="BT55" i="41"/>
  <c r="BT178" i="41"/>
  <c r="BR178" i="41"/>
  <c r="BR183" i="41"/>
  <c r="BT183" i="41"/>
  <c r="BT188" i="41"/>
  <c r="BS184" i="41"/>
  <c r="BR193" i="41"/>
  <c r="BT193" i="41"/>
  <c r="R182" i="41"/>
  <c r="R281" i="41"/>
  <c r="R276" i="41"/>
  <c r="R249" i="41"/>
  <c r="AM12" i="49"/>
  <c r="AM17" i="49" s="1"/>
  <c r="AM33" i="49" s="1"/>
  <c r="BK292" i="41"/>
  <c r="F7" i="45"/>
  <c r="J7" i="45" s="1"/>
  <c r="BN120" i="41"/>
  <c r="F8" i="45"/>
  <c r="J8" i="45" s="1"/>
  <c r="BI292" i="41"/>
  <c r="BE4" i="41"/>
  <c r="BE3" i="41" s="1"/>
  <c r="BN231" i="41"/>
  <c r="BM120" i="41"/>
  <c r="BO120" i="41"/>
  <c r="BJ292" i="41"/>
  <c r="BP231" i="41"/>
  <c r="BP120" i="41"/>
  <c r="BM231" i="41"/>
  <c r="BO231" i="41"/>
  <c r="BL292" i="41"/>
  <c r="AK4" i="41"/>
  <c r="AK3" i="41" s="1"/>
  <c r="F9" i="45"/>
  <c r="J9" i="45" s="1"/>
  <c r="BJ294" i="41"/>
  <c r="G15" i="45" s="1"/>
  <c r="BI294" i="41"/>
  <c r="F15" i="45" s="1"/>
  <c r="BL294" i="41"/>
  <c r="I15" i="45" s="1"/>
  <c r="BK294" i="41"/>
  <c r="H15" i="45" s="1"/>
  <c r="BN290" i="41"/>
  <c r="BO290" i="41"/>
  <c r="BP290" i="41"/>
  <c r="BM290" i="41"/>
  <c r="R245" i="41"/>
  <c r="R244" i="41"/>
  <c r="R266" i="41"/>
  <c r="R267" i="41"/>
  <c r="BR262" i="41"/>
  <c r="BR263" i="41"/>
  <c r="BR264" i="41"/>
  <c r="BR265" i="41"/>
  <c r="BS262" i="41"/>
  <c r="BT262" i="41"/>
  <c r="BQ262" i="41"/>
  <c r="BS263" i="41"/>
  <c r="BQ264" i="41"/>
  <c r="BS266" i="41"/>
  <c r="BT263" i="41"/>
  <c r="BS264" i="41"/>
  <c r="BQ265" i="41"/>
  <c r="BT266" i="41"/>
  <c r="BT267" i="41"/>
  <c r="BT264" i="41"/>
  <c r="BS265" i="41"/>
  <c r="BQ266" i="41"/>
  <c r="BQ267" i="41"/>
  <c r="BT265" i="41"/>
  <c r="BR266" i="41"/>
  <c r="BR267" i="41"/>
  <c r="BT242" i="41"/>
  <c r="BQ243" i="41"/>
  <c r="BR244" i="41"/>
  <c r="BQ242" i="41"/>
  <c r="BR243" i="41"/>
  <c r="BQ244" i="41"/>
  <c r="BR245" i="41"/>
  <c r="BQ263" i="41"/>
  <c r="BR242" i="41"/>
  <c r="BS243" i="41"/>
  <c r="BS244" i="41"/>
  <c r="BS245" i="41"/>
  <c r="BS242" i="41"/>
  <c r="BT243" i="41"/>
  <c r="BT244" i="41"/>
  <c r="BT245" i="41"/>
  <c r="BS267" i="41"/>
  <c r="BQ245" i="41"/>
  <c r="R243" i="41"/>
  <c r="R265" i="41"/>
  <c r="R242" i="41"/>
  <c r="R262" i="41"/>
  <c r="R264" i="41"/>
  <c r="R263" i="41"/>
  <c r="R260" i="41"/>
  <c r="U285" i="41"/>
  <c r="U287" i="41"/>
  <c r="U289" i="41"/>
  <c r="U284" i="41"/>
  <c r="U286" i="41"/>
  <c r="U288" i="41"/>
  <c r="R261" i="41"/>
  <c r="R259" i="41"/>
  <c r="BS258" i="41"/>
  <c r="BQ259" i="41"/>
  <c r="BS260" i="41"/>
  <c r="BT258" i="41"/>
  <c r="BR259" i="41"/>
  <c r="BT260" i="41"/>
  <c r="BQ258" i="41"/>
  <c r="BS259" i="41"/>
  <c r="BR258" i="41"/>
  <c r="BT259" i="41"/>
  <c r="BR260" i="41"/>
  <c r="BQ260" i="41"/>
  <c r="BS261" i="41"/>
  <c r="BT261" i="41"/>
  <c r="BQ261" i="41"/>
  <c r="BR261" i="41"/>
  <c r="R258" i="41"/>
  <c r="R236" i="41"/>
  <c r="R241" i="41"/>
  <c r="R237" i="41"/>
  <c r="R240" i="41"/>
  <c r="R239" i="41"/>
  <c r="BT236" i="41"/>
  <c r="BR237" i="41"/>
  <c r="BT238" i="41"/>
  <c r="BR236" i="41"/>
  <c r="BT237" i="41"/>
  <c r="BR238" i="41"/>
  <c r="BQ236" i="41"/>
  <c r="BQ239" i="41"/>
  <c r="BS240" i="41"/>
  <c r="BQ241" i="41"/>
  <c r="BS236" i="41"/>
  <c r="BQ237" i="41"/>
  <c r="BR239" i="41"/>
  <c r="BT240" i="41"/>
  <c r="BS237" i="41"/>
  <c r="BQ238" i="41"/>
  <c r="BS239" i="41"/>
  <c r="BQ240" i="41"/>
  <c r="BS241" i="41"/>
  <c r="BT239" i="41"/>
  <c r="BT241" i="41"/>
  <c r="BS238" i="41"/>
  <c r="BR240" i="41"/>
  <c r="BR241" i="41"/>
  <c r="R238" i="41"/>
  <c r="BS213" i="41"/>
  <c r="BS172" i="41"/>
  <c r="BS214" i="41"/>
  <c r="BS173" i="41"/>
  <c r="BS96" i="41"/>
  <c r="BS91" i="41"/>
  <c r="BS78" i="41"/>
  <c r="BS73" i="41"/>
  <c r="BS41" i="41"/>
  <c r="BS36" i="41"/>
  <c r="BS23" i="41"/>
  <c r="BS18" i="41"/>
  <c r="BS136" i="41"/>
  <c r="BS105" i="41"/>
  <c r="BS97" i="41"/>
  <c r="BS75" i="41"/>
  <c r="BS69" i="41"/>
  <c r="BS50" i="41"/>
  <c r="BS42" i="41"/>
  <c r="BS20" i="41"/>
  <c r="BS14" i="41"/>
  <c r="BS208" i="41"/>
  <c r="BS93" i="41"/>
  <c r="BS32" i="41"/>
  <c r="BS209" i="41"/>
  <c r="BS74" i="41"/>
  <c r="BS19" i="41"/>
  <c r="BS87" i="41"/>
  <c r="BS38" i="41"/>
  <c r="BS24" i="41"/>
  <c r="BS137" i="41"/>
  <c r="BS92" i="41"/>
  <c r="BS51" i="41"/>
  <c r="BS37" i="41"/>
  <c r="BS106" i="41"/>
  <c r="BS215" i="41"/>
  <c r="BS174" i="41"/>
  <c r="BS210" i="41"/>
  <c r="BS138" i="41"/>
  <c r="J14" i="45"/>
  <c r="R51" i="41"/>
  <c r="BQ97" i="41"/>
  <c r="BR97" i="41"/>
  <c r="BT97" i="41"/>
  <c r="BR24" i="41"/>
  <c r="BQ24" i="41"/>
  <c r="BT24" i="41"/>
  <c r="BT215" i="41"/>
  <c r="BQ213" i="41"/>
  <c r="BT210" i="41"/>
  <c r="BT213" i="41"/>
  <c r="BQ215" i="41"/>
  <c r="BQ214" i="41"/>
  <c r="BR213" i="41"/>
  <c r="BQ210" i="41"/>
  <c r="BQ209" i="41"/>
  <c r="BR208" i="41"/>
  <c r="BR215" i="41"/>
  <c r="BT208" i="41"/>
  <c r="BQ174" i="41"/>
  <c r="BQ173" i="41"/>
  <c r="BR172" i="41"/>
  <c r="BR210" i="41"/>
  <c r="BQ208" i="41"/>
  <c r="BT172" i="41"/>
  <c r="BQ172" i="41"/>
  <c r="BQ138" i="41"/>
  <c r="BQ137" i="41"/>
  <c r="BT138" i="41"/>
  <c r="BQ136" i="41"/>
  <c r="BR174" i="41"/>
  <c r="BR138" i="41"/>
  <c r="BQ105" i="41"/>
  <c r="BQ96" i="41"/>
  <c r="BQ93" i="41"/>
  <c r="BR136" i="41"/>
  <c r="BT106" i="41"/>
  <c r="BT96" i="41"/>
  <c r="BT174" i="41"/>
  <c r="BT136" i="41"/>
  <c r="BT105" i="41"/>
  <c r="BQ92" i="41"/>
  <c r="BQ91" i="41"/>
  <c r="BT87" i="41"/>
  <c r="BR93" i="41"/>
  <c r="BT92" i="41"/>
  <c r="BT91" i="41"/>
  <c r="BQ106" i="41"/>
  <c r="BT93" i="41"/>
  <c r="BR92" i="41"/>
  <c r="BR91" i="41"/>
  <c r="BQ87" i="41"/>
  <c r="BQ78" i="41"/>
  <c r="BQ75" i="41"/>
  <c r="BQ74" i="41"/>
  <c r="BQ73" i="41"/>
  <c r="BT69" i="41"/>
  <c r="BR50" i="41"/>
  <c r="BR105" i="41"/>
  <c r="BR87" i="41"/>
  <c r="BT78" i="41"/>
  <c r="BT74" i="41"/>
  <c r="BR37" i="41"/>
  <c r="BR106" i="41"/>
  <c r="BR96" i="41"/>
  <c r="BR78" i="41"/>
  <c r="BR74" i="41"/>
  <c r="BT51" i="41"/>
  <c r="BT50" i="41"/>
  <c r="BQ42" i="41"/>
  <c r="BQ41" i="41"/>
  <c r="BQ38" i="41"/>
  <c r="BQ37" i="41"/>
  <c r="BQ36" i="41"/>
  <c r="BR75" i="41"/>
  <c r="BR73" i="41"/>
  <c r="BQ69" i="41"/>
  <c r="BQ51" i="41"/>
  <c r="BQ50" i="41"/>
  <c r="BR42" i="41"/>
  <c r="BR41" i="41"/>
  <c r="BR38" i="41"/>
  <c r="BT73" i="41"/>
  <c r="BQ32" i="41"/>
  <c r="BQ18" i="41"/>
  <c r="BT32" i="41"/>
  <c r="BT75" i="41"/>
  <c r="BR69" i="41"/>
  <c r="BT42" i="41"/>
  <c r="BQ23" i="41"/>
  <c r="BR20" i="41"/>
  <c r="BT19" i="41"/>
  <c r="BR19" i="41"/>
  <c r="BR51" i="41"/>
  <c r="BT38" i="41"/>
  <c r="BT36" i="41"/>
  <c r="BR32" i="41"/>
  <c r="BT23" i="41"/>
  <c r="BQ19" i="41"/>
  <c r="BR18" i="41"/>
  <c r="BT41" i="41"/>
  <c r="BR36" i="41"/>
  <c r="BR23" i="41"/>
  <c r="BT20" i="41"/>
  <c r="BT37" i="41"/>
  <c r="BQ20" i="41"/>
  <c r="BT18" i="41"/>
  <c r="BR214" i="41"/>
  <c r="BR173" i="41"/>
  <c r="BT209" i="41"/>
  <c r="BT173" i="41"/>
  <c r="BT214" i="41"/>
  <c r="BR209" i="41"/>
  <c r="BR137" i="41"/>
  <c r="BT137" i="41"/>
  <c r="R172" i="41"/>
  <c r="R26" i="41"/>
  <c r="R22" i="41"/>
  <c r="R32" i="41"/>
  <c r="R38" i="41"/>
  <c r="R56" i="41"/>
  <c r="R100" i="41"/>
  <c r="R136" i="41"/>
  <c r="R215" i="41"/>
  <c r="R162" i="41"/>
  <c r="R174" i="41"/>
  <c r="R83" i="41"/>
  <c r="R78" i="41"/>
  <c r="R87" i="41"/>
  <c r="R107" i="41"/>
  <c r="R101" i="41"/>
  <c r="R168" i="41"/>
  <c r="R63" i="41"/>
  <c r="R62" i="41"/>
  <c r="R75" i="41"/>
  <c r="R99" i="41"/>
  <c r="R127" i="41"/>
  <c r="R71" i="41"/>
  <c r="R28" i="41"/>
  <c r="R44" i="41"/>
  <c r="R73" i="41"/>
  <c r="R24" i="41"/>
  <c r="R52" i="41"/>
  <c r="R106" i="41"/>
  <c r="R115" i="41"/>
  <c r="R137" i="41"/>
  <c r="R169" i="41"/>
  <c r="R214" i="41"/>
  <c r="R164" i="41"/>
  <c r="R209" i="41"/>
  <c r="R203" i="41"/>
  <c r="R204" i="41"/>
  <c r="R210" i="41"/>
  <c r="R199" i="41"/>
  <c r="R205" i="41"/>
  <c r="R213" i="41"/>
  <c r="R20" i="41"/>
  <c r="R19" i="41"/>
  <c r="R23" i="41"/>
  <c r="R70" i="41"/>
  <c r="R74" i="41"/>
  <c r="R36" i="41"/>
  <c r="R33" i="41"/>
  <c r="R45" i="41"/>
  <c r="R91" i="41"/>
  <c r="R37" i="41"/>
  <c r="R42" i="41"/>
  <c r="R50" i="41"/>
  <c r="R55" i="41"/>
  <c r="R60" i="41"/>
  <c r="R69" i="41"/>
  <c r="R79" i="41"/>
  <c r="R88" i="41"/>
  <c r="R81" i="41"/>
  <c r="R92" i="41"/>
  <c r="R93" i="41"/>
  <c r="R113" i="41"/>
  <c r="R114" i="41"/>
  <c r="R111" i="41"/>
  <c r="U127" i="41"/>
  <c r="U126" i="41"/>
  <c r="U133" i="41"/>
  <c r="U142" i="41"/>
  <c r="U141" i="41"/>
  <c r="U152" i="41"/>
  <c r="U151" i="41"/>
  <c r="U163" i="41"/>
  <c r="U162" i="41"/>
  <c r="U131" i="41"/>
  <c r="U148" i="41"/>
  <c r="U158" i="41"/>
  <c r="U143" i="41"/>
  <c r="U146" i="41"/>
  <c r="U164" i="41"/>
  <c r="U167" i="41"/>
  <c r="U199" i="41"/>
  <c r="U203" i="41"/>
  <c r="U224" i="41"/>
  <c r="U223" i="41"/>
  <c r="U157" i="41"/>
  <c r="U168" i="41"/>
  <c r="U179" i="41"/>
  <c r="U189" i="41"/>
  <c r="U200" i="41"/>
  <c r="U204" i="41"/>
  <c r="U225" i="41"/>
  <c r="U228" i="41"/>
  <c r="U205" i="41"/>
  <c r="U219" i="41"/>
  <c r="U128" i="41"/>
  <c r="U147" i="41"/>
  <c r="U230" i="41"/>
  <c r="U132" i="41"/>
  <c r="U153" i="41"/>
  <c r="U156" i="41"/>
  <c r="U169" i="41"/>
  <c r="U218" i="41"/>
  <c r="U229" i="41"/>
  <c r="U194" i="41"/>
  <c r="U198" i="41"/>
  <c r="U220" i="41"/>
  <c r="R82" i="41"/>
  <c r="R95" i="41"/>
  <c r="R126" i="41"/>
  <c r="R200" i="41"/>
  <c r="R138" i="41"/>
  <c r="R14" i="41"/>
  <c r="R40" i="41"/>
  <c r="R58" i="41"/>
  <c r="R96" i="41"/>
  <c r="R117" i="41"/>
  <c r="R118" i="41"/>
  <c r="R128" i="41"/>
  <c r="R163" i="41"/>
  <c r="R167" i="41"/>
  <c r="R173" i="41"/>
  <c r="R198" i="41"/>
  <c r="R208" i="41"/>
  <c r="R15" i="41"/>
  <c r="R16" i="41"/>
  <c r="R27" i="41"/>
  <c r="R18" i="41"/>
  <c r="R34" i="41"/>
  <c r="R41" i="41"/>
  <c r="R46" i="41"/>
  <c r="R54" i="41"/>
  <c r="R59" i="41"/>
  <c r="R64" i="41"/>
  <c r="R97" i="41"/>
  <c r="R77" i="41"/>
  <c r="R89" i="41"/>
  <c r="R105" i="41"/>
  <c r="R109" i="41"/>
  <c r="V8" i="41"/>
  <c r="BU7" i="41"/>
  <c r="BT14" i="41"/>
  <c r="BQ14" i="41"/>
  <c r="BR14" i="41"/>
  <c r="S177" i="41" l="1"/>
  <c r="S275" i="41"/>
  <c r="S253" i="41"/>
  <c r="S281" i="41"/>
  <c r="S188" i="41"/>
  <c r="S276" i="41"/>
  <c r="S248" i="41"/>
  <c r="S193" i="41"/>
  <c r="S184" i="41"/>
  <c r="S283" i="41"/>
  <c r="S249" i="41"/>
  <c r="S247" i="41"/>
  <c r="S251" i="41"/>
  <c r="BU254" i="41"/>
  <c r="BV252" i="41"/>
  <c r="BU252" i="41"/>
  <c r="BU253" i="41"/>
  <c r="BV250" i="41"/>
  <c r="BU247" i="41"/>
  <c r="BU251" i="41"/>
  <c r="BU250" i="41"/>
  <c r="BU246" i="41"/>
  <c r="BV277" i="41"/>
  <c r="BU273" i="41"/>
  <c r="BV272" i="41"/>
  <c r="BU249" i="41"/>
  <c r="BU275" i="41"/>
  <c r="BU255" i="41"/>
  <c r="BU248" i="41"/>
  <c r="BU277" i="41"/>
  <c r="BU271" i="41"/>
  <c r="BU268" i="41"/>
  <c r="BU272" i="41"/>
  <c r="BU274" i="41"/>
  <c r="BU270" i="41"/>
  <c r="BU276" i="41"/>
  <c r="BV254" i="41"/>
  <c r="BU269" i="41"/>
  <c r="BX255" i="41"/>
  <c r="BW253" i="41"/>
  <c r="BV253" i="41"/>
  <c r="BX250" i="41"/>
  <c r="BX249" i="41"/>
  <c r="BV248" i="41"/>
  <c r="BX277" i="41"/>
  <c r="BV275" i="41"/>
  <c r="BV274" i="41"/>
  <c r="BW271" i="41"/>
  <c r="BW270" i="41"/>
  <c r="BW269" i="41"/>
  <c r="BX253" i="41"/>
  <c r="BW252" i="41"/>
  <c r="BV247" i="41"/>
  <c r="BV246" i="41"/>
  <c r="BW274" i="41"/>
  <c r="BW273" i="41"/>
  <c r="BX273" i="41"/>
  <c r="BW272" i="41"/>
  <c r="BX270" i="41"/>
  <c r="BX269" i="41"/>
  <c r="BV268" i="41"/>
  <c r="BV280" i="41"/>
  <c r="BX254" i="41"/>
  <c r="BX251" i="41"/>
  <c r="BW250" i="41"/>
  <c r="BW249" i="41"/>
  <c r="BV249" i="41"/>
  <c r="BW246" i="41"/>
  <c r="BX272" i="41"/>
  <c r="BV271" i="41"/>
  <c r="BV269" i="41"/>
  <c r="BX268" i="41"/>
  <c r="BU280" i="41"/>
  <c r="BX281" i="41"/>
  <c r="BX282" i="41"/>
  <c r="BX283" i="41"/>
  <c r="BX248" i="41"/>
  <c r="BX246" i="41"/>
  <c r="BW275" i="41"/>
  <c r="BX274" i="41"/>
  <c r="BV273" i="41"/>
  <c r="BX271" i="41"/>
  <c r="BW268" i="41"/>
  <c r="BW280" i="41"/>
  <c r="BU281" i="41"/>
  <c r="BU282" i="41"/>
  <c r="BU283" i="41"/>
  <c r="BW255" i="41"/>
  <c r="BV255" i="41"/>
  <c r="BW251" i="41"/>
  <c r="BV251" i="41"/>
  <c r="BW248" i="41"/>
  <c r="BW247" i="41"/>
  <c r="BX276" i="41"/>
  <c r="BV270" i="41"/>
  <c r="BX280" i="41"/>
  <c r="BV281" i="41"/>
  <c r="BV282" i="41"/>
  <c r="BV283" i="41"/>
  <c r="BW254" i="41"/>
  <c r="BX252" i="41"/>
  <c r="BX247" i="41"/>
  <c r="BW277" i="41"/>
  <c r="BV276" i="41"/>
  <c r="BX275" i="41"/>
  <c r="BW283" i="41"/>
  <c r="BW282" i="41"/>
  <c r="BW281" i="41"/>
  <c r="BW276" i="41"/>
  <c r="BW192" i="41"/>
  <c r="BW183" i="41"/>
  <c r="BW109" i="41"/>
  <c r="BW188" i="41"/>
  <c r="BW187" i="41"/>
  <c r="BW54" i="41"/>
  <c r="BW182" i="41"/>
  <c r="BW178" i="41"/>
  <c r="BW89" i="41"/>
  <c r="BW55" i="41"/>
  <c r="BW193" i="41"/>
  <c r="BW177" i="41"/>
  <c r="BW110" i="41"/>
  <c r="BW88" i="41"/>
  <c r="BX187" i="41"/>
  <c r="BV184" i="41"/>
  <c r="BX182" i="41"/>
  <c r="BV177" i="41"/>
  <c r="BV110" i="41"/>
  <c r="BX109" i="41"/>
  <c r="BU89" i="41"/>
  <c r="BV88" i="41"/>
  <c r="BX55" i="41"/>
  <c r="BU109" i="41"/>
  <c r="BX89" i="41"/>
  <c r="BV54" i="41"/>
  <c r="BU188" i="41"/>
  <c r="BX110" i="41"/>
  <c r="BU193" i="41"/>
  <c r="BX192" i="41"/>
  <c r="BV187" i="41"/>
  <c r="BU184" i="41"/>
  <c r="BV182" i="41"/>
  <c r="BU177" i="41"/>
  <c r="BU110" i="41"/>
  <c r="BV109" i="41"/>
  <c r="BU88" i="41"/>
  <c r="BV55" i="41"/>
  <c r="BX54" i="41"/>
  <c r="BV192" i="41"/>
  <c r="BV188" i="41"/>
  <c r="BU187" i="41"/>
  <c r="T187" i="41" s="1"/>
  <c r="BU183" i="41"/>
  <c r="BU182" i="41"/>
  <c r="BU178" i="41"/>
  <c r="BU55" i="41"/>
  <c r="BU192" i="41"/>
  <c r="BX184" i="41"/>
  <c r="BX177" i="41"/>
  <c r="BV89" i="41"/>
  <c r="BX88" i="41"/>
  <c r="BU54" i="41"/>
  <c r="BX178" i="41"/>
  <c r="BV178" i="41"/>
  <c r="BV183" i="41"/>
  <c r="BX183" i="41"/>
  <c r="BW184" i="41"/>
  <c r="BV193" i="41"/>
  <c r="BX193" i="41"/>
  <c r="BX188" i="41"/>
  <c r="S183" i="41"/>
  <c r="S270" i="41"/>
  <c r="S272" i="41"/>
  <c r="S250" i="41"/>
  <c r="S280" i="41"/>
  <c r="S274" i="41"/>
  <c r="S178" i="41"/>
  <c r="S182" i="41"/>
  <c r="S282" i="41"/>
  <c r="S269" i="41"/>
  <c r="S271" i="41"/>
  <c r="S268" i="41"/>
  <c r="S246" i="41"/>
  <c r="S252" i="41"/>
  <c r="S254" i="41"/>
  <c r="S255" i="41"/>
  <c r="BN292" i="41"/>
  <c r="BQ120" i="41"/>
  <c r="BO292" i="41"/>
  <c r="BT120" i="41"/>
  <c r="BQ231" i="41"/>
  <c r="BR120" i="41"/>
  <c r="BT231" i="41"/>
  <c r="BR231" i="41"/>
  <c r="BS120" i="41"/>
  <c r="BS231" i="41"/>
  <c r="BP292" i="41"/>
  <c r="BO294" i="41"/>
  <c r="H16" i="45" s="1"/>
  <c r="BP294" i="41"/>
  <c r="I16" i="45" s="1"/>
  <c r="BI4" i="41"/>
  <c r="BI3" i="41" s="1"/>
  <c r="BS290" i="41"/>
  <c r="BR290" i="41"/>
  <c r="BT290" i="41"/>
  <c r="BN294" i="41"/>
  <c r="G16" i="45" s="1"/>
  <c r="BM292" i="41"/>
  <c r="BM294" i="41"/>
  <c r="BM4" i="41" s="1"/>
  <c r="BM3" i="41" s="1"/>
  <c r="BQ290" i="41"/>
  <c r="S244" i="41"/>
  <c r="S245" i="41"/>
  <c r="S243" i="41"/>
  <c r="S267" i="41"/>
  <c r="S262" i="41"/>
  <c r="S263" i="41"/>
  <c r="S242" i="41"/>
  <c r="S266" i="41"/>
  <c r="BV262" i="41"/>
  <c r="BV263" i="41"/>
  <c r="BV264" i="41"/>
  <c r="BV265" i="41"/>
  <c r="BX263" i="41"/>
  <c r="BW264" i="41"/>
  <c r="BU265" i="41"/>
  <c r="BW266" i="41"/>
  <c r="BU262" i="41"/>
  <c r="BX264" i="41"/>
  <c r="BW265" i="41"/>
  <c r="BX266" i="41"/>
  <c r="BX267" i="41"/>
  <c r="BW262" i="41"/>
  <c r="BU263" i="41"/>
  <c r="BX265" i="41"/>
  <c r="BU266" i="41"/>
  <c r="BU267" i="41"/>
  <c r="BW263" i="41"/>
  <c r="BV267" i="41"/>
  <c r="BW267" i="41"/>
  <c r="BX262" i="41"/>
  <c r="BU264" i="41"/>
  <c r="BX242" i="41"/>
  <c r="BU243" i="41"/>
  <c r="BV244" i="41"/>
  <c r="BV242" i="41"/>
  <c r="BW243" i="41"/>
  <c r="BW244" i="41"/>
  <c r="BV245" i="41"/>
  <c r="BU242" i="41"/>
  <c r="BV243" i="41"/>
  <c r="BU244" i="41"/>
  <c r="BU245" i="41"/>
  <c r="BW242" i="41"/>
  <c r="BX243" i="41"/>
  <c r="BX244" i="41"/>
  <c r="BW245" i="41"/>
  <c r="BV266" i="41"/>
  <c r="BX245" i="41"/>
  <c r="S265" i="41"/>
  <c r="S264" i="41"/>
  <c r="S260" i="41"/>
  <c r="V285" i="41"/>
  <c r="V287" i="41"/>
  <c r="V289" i="41"/>
  <c r="V284" i="41"/>
  <c r="V286" i="41"/>
  <c r="V288" i="41"/>
  <c r="S261" i="41"/>
  <c r="S258" i="41"/>
  <c r="S238" i="41"/>
  <c r="S237" i="41"/>
  <c r="S259" i="41"/>
  <c r="BW258" i="41"/>
  <c r="BU259" i="41"/>
  <c r="BW260" i="41"/>
  <c r="BX258" i="41"/>
  <c r="BV259" i="41"/>
  <c r="BX260" i="41"/>
  <c r="BU258" i="41"/>
  <c r="BW259" i="41"/>
  <c r="BV258" i="41"/>
  <c r="BX259" i="41"/>
  <c r="BV260" i="41"/>
  <c r="BW261" i="41"/>
  <c r="BU260" i="41"/>
  <c r="BX261" i="41"/>
  <c r="BU261" i="41"/>
  <c r="BV261" i="41"/>
  <c r="BX236" i="41"/>
  <c r="BV237" i="41"/>
  <c r="BX238" i="41"/>
  <c r="BV236" i="41"/>
  <c r="BX237" i="41"/>
  <c r="BV238" i="41"/>
  <c r="BW237" i="41"/>
  <c r="BU238" i="41"/>
  <c r="BU239" i="41"/>
  <c r="BW240" i="41"/>
  <c r="BU241" i="41"/>
  <c r="BW238" i="41"/>
  <c r="BV239" i="41"/>
  <c r="BX240" i="41"/>
  <c r="BU236" i="41"/>
  <c r="BW239" i="41"/>
  <c r="BU240" i="41"/>
  <c r="BW241" i="41"/>
  <c r="BV240" i="41"/>
  <c r="BW236" i="41"/>
  <c r="BX239" i="41"/>
  <c r="BV241" i="41"/>
  <c r="BX241" i="41"/>
  <c r="BU237" i="41"/>
  <c r="S236" i="41"/>
  <c r="S239" i="41"/>
  <c r="S240" i="41"/>
  <c r="S241" i="41"/>
  <c r="BW209" i="41"/>
  <c r="BW137" i="41"/>
  <c r="BW106" i="41"/>
  <c r="BW93" i="41"/>
  <c r="BW75" i="41"/>
  <c r="BW51" i="41"/>
  <c r="BW38" i="41"/>
  <c r="BW20" i="41"/>
  <c r="BW213" i="41"/>
  <c r="BW172" i="41"/>
  <c r="BW173" i="41"/>
  <c r="BW105" i="41"/>
  <c r="BW97" i="41"/>
  <c r="BW91" i="41"/>
  <c r="BW78" i="41"/>
  <c r="BW37" i="41"/>
  <c r="BW32" i="41"/>
  <c r="BW24" i="41"/>
  <c r="BW18" i="41"/>
  <c r="BW214" i="41"/>
  <c r="BW74" i="41"/>
  <c r="BW41" i="41"/>
  <c r="BW136" i="41"/>
  <c r="BW96" i="41"/>
  <c r="BW50" i="41"/>
  <c r="BW42" i="41"/>
  <c r="BW36" i="41"/>
  <c r="BW23" i="41"/>
  <c r="BW69" i="41"/>
  <c r="BW14" i="41"/>
  <c r="BW92" i="41"/>
  <c r="BW208" i="41"/>
  <c r="BW73" i="41"/>
  <c r="BW87" i="41"/>
  <c r="BW19" i="41"/>
  <c r="BW174" i="41"/>
  <c r="BW215" i="41"/>
  <c r="BW210" i="41"/>
  <c r="BW138" i="41"/>
  <c r="J15" i="45"/>
  <c r="BU97" i="41"/>
  <c r="BX24" i="41"/>
  <c r="BX97" i="41"/>
  <c r="BU24" i="41"/>
  <c r="BV24" i="41"/>
  <c r="BV97" i="41"/>
  <c r="S136" i="41"/>
  <c r="S208" i="41"/>
  <c r="S214" i="41"/>
  <c r="S174" i="41"/>
  <c r="S137" i="41"/>
  <c r="S173" i="41"/>
  <c r="BU213" i="41"/>
  <c r="BX215" i="41"/>
  <c r="BU214" i="41"/>
  <c r="BX213" i="41"/>
  <c r="BX210" i="41"/>
  <c r="BU209" i="41"/>
  <c r="BU215" i="41"/>
  <c r="BV213" i="41"/>
  <c r="BU210" i="41"/>
  <c r="BV208" i="41"/>
  <c r="BU208" i="41"/>
  <c r="BU174" i="41"/>
  <c r="BV172" i="41"/>
  <c r="BV215" i="41"/>
  <c r="BX174" i="41"/>
  <c r="BU173" i="41"/>
  <c r="BX172" i="41"/>
  <c r="BU138" i="41"/>
  <c r="BX208" i="41"/>
  <c r="BV174" i="41"/>
  <c r="BU136" i="41"/>
  <c r="BV210" i="41"/>
  <c r="BV138" i="41"/>
  <c r="BU105" i="41"/>
  <c r="BU96" i="41"/>
  <c r="BU93" i="41"/>
  <c r="BU137" i="41"/>
  <c r="BX105" i="41"/>
  <c r="BV93" i="41"/>
  <c r="BX136" i="41"/>
  <c r="BX138" i="41"/>
  <c r="BU106" i="41"/>
  <c r="BX106" i="41"/>
  <c r="BV96" i="41"/>
  <c r="BU92" i="41"/>
  <c r="BU91" i="41"/>
  <c r="BX87" i="41"/>
  <c r="BV136" i="41"/>
  <c r="BV106" i="41"/>
  <c r="BV105" i="41"/>
  <c r="BX93" i="41"/>
  <c r="BX92" i="41"/>
  <c r="BX91" i="41"/>
  <c r="BU172" i="41"/>
  <c r="BV92" i="41"/>
  <c r="BV91" i="41"/>
  <c r="BU87" i="41"/>
  <c r="BU78" i="41"/>
  <c r="BU75" i="41"/>
  <c r="BU74" i="41"/>
  <c r="BU73" i="41"/>
  <c r="BX69" i="41"/>
  <c r="BV50" i="41"/>
  <c r="BX96" i="41"/>
  <c r="BX75" i="41"/>
  <c r="BX73" i="41"/>
  <c r="BU69" i="41"/>
  <c r="BU51" i="41"/>
  <c r="BU50" i="41"/>
  <c r="BV42" i="41"/>
  <c r="BV41" i="41"/>
  <c r="BV38" i="41"/>
  <c r="BV75" i="41"/>
  <c r="BV73" i="41"/>
  <c r="BU42" i="41"/>
  <c r="BU41" i="41"/>
  <c r="BU38" i="41"/>
  <c r="BU37" i="41"/>
  <c r="BU36" i="41"/>
  <c r="BV87" i="41"/>
  <c r="BV78" i="41"/>
  <c r="BV74" i="41"/>
  <c r="BV69" i="41"/>
  <c r="BV51" i="41"/>
  <c r="BV37" i="41"/>
  <c r="BX50" i="41"/>
  <c r="BX23" i="41"/>
  <c r="BU23" i="41"/>
  <c r="BX37" i="41"/>
  <c r="BX36" i="41"/>
  <c r="BU32" i="41"/>
  <c r="BV23" i="41"/>
  <c r="BX20" i="41"/>
  <c r="BU18" i="41"/>
  <c r="BX74" i="41"/>
  <c r="BX38" i="41"/>
  <c r="BV20" i="41"/>
  <c r="BX78" i="41"/>
  <c r="BX41" i="41"/>
  <c r="BX32" i="41"/>
  <c r="BU20" i="41"/>
  <c r="BV19" i="41"/>
  <c r="BX18" i="41"/>
  <c r="BX42" i="41"/>
  <c r="BV32" i="41"/>
  <c r="BU19" i="41"/>
  <c r="BV18" i="41"/>
  <c r="BX51" i="41"/>
  <c r="BV36" i="41"/>
  <c r="BX19" i="41"/>
  <c r="BX214" i="41"/>
  <c r="BX209" i="41"/>
  <c r="BX173" i="41"/>
  <c r="BV173" i="41"/>
  <c r="BV209" i="41"/>
  <c r="BV214" i="41"/>
  <c r="BX137" i="41"/>
  <c r="BV137" i="41"/>
  <c r="S172" i="41"/>
  <c r="S209" i="41"/>
  <c r="S215" i="41"/>
  <c r="S138" i="41"/>
  <c r="S210" i="41"/>
  <c r="S213" i="41"/>
  <c r="S89" i="41"/>
  <c r="S92" i="41"/>
  <c r="S15" i="41"/>
  <c r="S26" i="41"/>
  <c r="S34" i="41"/>
  <c r="S75" i="41"/>
  <c r="S111" i="41"/>
  <c r="S96" i="41"/>
  <c r="S109" i="41"/>
  <c r="S32" i="41"/>
  <c r="S52" i="41"/>
  <c r="S64" i="41"/>
  <c r="S119" i="41"/>
  <c r="S20" i="41"/>
  <c r="S45" i="41"/>
  <c r="S82" i="41"/>
  <c r="S46" i="41"/>
  <c r="S54" i="41"/>
  <c r="S59" i="41"/>
  <c r="S69" i="41"/>
  <c r="S77" i="41"/>
  <c r="S91" i="41"/>
  <c r="S118" i="41"/>
  <c r="S117" i="41"/>
  <c r="S40" i="41"/>
  <c r="S88" i="41"/>
  <c r="S16" i="41"/>
  <c r="S27" i="41"/>
  <c r="S50" i="41"/>
  <c r="S60" i="41"/>
  <c r="V128" i="41"/>
  <c r="V127" i="41"/>
  <c r="V126" i="41"/>
  <c r="V132" i="41"/>
  <c r="V143" i="41"/>
  <c r="V146" i="41"/>
  <c r="V153" i="41"/>
  <c r="V156" i="41"/>
  <c r="V164" i="41"/>
  <c r="V133" i="41"/>
  <c r="V142" i="41"/>
  <c r="V141" i="41"/>
  <c r="V152" i="41"/>
  <c r="V151" i="41"/>
  <c r="V163" i="41"/>
  <c r="V162" i="41"/>
  <c r="V157" i="41"/>
  <c r="V168" i="41"/>
  <c r="V179" i="41"/>
  <c r="V189" i="41"/>
  <c r="V200" i="41"/>
  <c r="V204" i="41"/>
  <c r="V225" i="41"/>
  <c r="V228" i="41"/>
  <c r="V148" i="41"/>
  <c r="V169" i="41"/>
  <c r="V205" i="41"/>
  <c r="V219" i="41"/>
  <c r="V218" i="41"/>
  <c r="V229" i="41"/>
  <c r="V147" i="41"/>
  <c r="V230" i="41"/>
  <c r="V131" i="41"/>
  <c r="V158" i="41"/>
  <c r="V167" i="41"/>
  <c r="V199" i="41"/>
  <c r="V224" i="41"/>
  <c r="V194" i="41"/>
  <c r="V198" i="41"/>
  <c r="V220" i="41"/>
  <c r="V223" i="41"/>
  <c r="V203" i="41"/>
  <c r="S14" i="41"/>
  <c r="S19" i="41"/>
  <c r="S24" i="41"/>
  <c r="S33" i="41"/>
  <c r="S70" i="41"/>
  <c r="S79" i="41"/>
  <c r="S38" i="41"/>
  <c r="S44" i="41"/>
  <c r="S58" i="41"/>
  <c r="S73" i="41"/>
  <c r="S74" i="41"/>
  <c r="S83" i="41"/>
  <c r="S99" i="41"/>
  <c r="S100" i="41"/>
  <c r="S95" i="41"/>
  <c r="S106" i="41"/>
  <c r="S110" i="41"/>
  <c r="S22" i="41"/>
  <c r="S36" i="41"/>
  <c r="S51" i="41"/>
  <c r="S41" i="41"/>
  <c r="S55" i="41"/>
  <c r="S105" i="41"/>
  <c r="S114" i="41"/>
  <c r="S81" i="41"/>
  <c r="S71" i="41"/>
  <c r="S18" i="41"/>
  <c r="S23" i="41"/>
  <c r="S28" i="41"/>
  <c r="S87" i="41"/>
  <c r="S37" i="41"/>
  <c r="S42" i="41"/>
  <c r="S56" i="41"/>
  <c r="S62" i="41"/>
  <c r="S63" i="41"/>
  <c r="S78" i="41"/>
  <c r="S101" i="41"/>
  <c r="S97" i="41"/>
  <c r="S107" i="41"/>
  <c r="S93" i="41"/>
  <c r="S113" i="41"/>
  <c r="S115" i="41"/>
  <c r="W8" i="41"/>
  <c r="BX14" i="41"/>
  <c r="BU14" i="41"/>
  <c r="BV14" i="41"/>
  <c r="BY7" i="41"/>
  <c r="T177" i="41" l="1"/>
  <c r="T271" i="41"/>
  <c r="T247" i="41"/>
  <c r="T283" i="41"/>
  <c r="T275" i="41"/>
  <c r="T178" i="41"/>
  <c r="T193" i="41"/>
  <c r="T282" i="41"/>
  <c r="T269" i="41"/>
  <c r="T274" i="41"/>
  <c r="T277" i="41"/>
  <c r="T249" i="41"/>
  <c r="T246" i="41"/>
  <c r="T254" i="41"/>
  <c r="T182" i="41"/>
  <c r="T184" i="41"/>
  <c r="T281" i="41"/>
  <c r="T280" i="41"/>
  <c r="T272" i="41"/>
  <c r="T248" i="41"/>
  <c r="T250" i="41"/>
  <c r="T253" i="41"/>
  <c r="T270" i="41"/>
  <c r="BZ254" i="41"/>
  <c r="BY253" i="41"/>
  <c r="BZ250" i="41"/>
  <c r="BY249" i="41"/>
  <c r="BY251" i="41"/>
  <c r="BY246" i="41"/>
  <c r="BY276" i="41"/>
  <c r="BY255" i="41"/>
  <c r="BZ252" i="41"/>
  <c r="BY248" i="41"/>
  <c r="BY277" i="41"/>
  <c r="BY254" i="41"/>
  <c r="BY274" i="41"/>
  <c r="BY252" i="41"/>
  <c r="BY247" i="41"/>
  <c r="BY275" i="41"/>
  <c r="BZ272" i="41"/>
  <c r="BY273" i="41"/>
  <c r="BY272" i="41"/>
  <c r="BZ270" i="41"/>
  <c r="BY250" i="41"/>
  <c r="BZ277" i="41"/>
  <c r="BY271" i="41"/>
  <c r="BY270" i="41"/>
  <c r="BY269" i="41"/>
  <c r="BY268" i="41"/>
  <c r="CB252" i="41"/>
  <c r="BZ251" i="41"/>
  <c r="CB248" i="41"/>
  <c r="CB247" i="41"/>
  <c r="CB246" i="41"/>
  <c r="CB276" i="41"/>
  <c r="CB272" i="41"/>
  <c r="BZ269" i="41"/>
  <c r="CB255" i="41"/>
  <c r="CA254" i="41"/>
  <c r="CA253" i="41"/>
  <c r="CB250" i="41"/>
  <c r="CB249" i="41"/>
  <c r="CA277" i="41"/>
  <c r="CB277" i="41"/>
  <c r="BZ276" i="41"/>
  <c r="BZ274" i="41"/>
  <c r="CA271" i="41"/>
  <c r="BZ271" i="41"/>
  <c r="CA270" i="41"/>
  <c r="CA269" i="41"/>
  <c r="CB268" i="41"/>
  <c r="BZ280" i="41"/>
  <c r="BZ246" i="41"/>
  <c r="CA276" i="41"/>
  <c r="CB275" i="41"/>
  <c r="CA280" i="41"/>
  <c r="CB281" i="41"/>
  <c r="CB282" i="41"/>
  <c r="CB283" i="41"/>
  <c r="BZ283" i="41"/>
  <c r="CB254" i="41"/>
  <c r="BZ253" i="41"/>
  <c r="CB251" i="41"/>
  <c r="CA249" i="41"/>
  <c r="CA246" i="41"/>
  <c r="BZ275" i="41"/>
  <c r="CA274" i="41"/>
  <c r="CA273" i="41"/>
  <c r="BZ273" i="41"/>
  <c r="CA272" i="41"/>
  <c r="CB269" i="41"/>
  <c r="BZ268" i="41"/>
  <c r="CB280" i="41"/>
  <c r="BY281" i="41"/>
  <c r="BY282" i="41"/>
  <c r="BY283" i="41"/>
  <c r="BZ255" i="41"/>
  <c r="CB253" i="41"/>
  <c r="CA252" i="41"/>
  <c r="BZ249" i="41"/>
  <c r="BZ247" i="41"/>
  <c r="CA275" i="41"/>
  <c r="CB274" i="41"/>
  <c r="CB271" i="41"/>
  <c r="CA268" i="41"/>
  <c r="BZ281" i="41"/>
  <c r="BZ282" i="41"/>
  <c r="CA255" i="41"/>
  <c r="CA251" i="41"/>
  <c r="CA250" i="41"/>
  <c r="BZ248" i="41"/>
  <c r="CB270" i="41"/>
  <c r="BY280" i="41"/>
  <c r="U280" i="41" s="1"/>
  <c r="CA283" i="41"/>
  <c r="CA282" i="41"/>
  <c r="CA248" i="41"/>
  <c r="CA247" i="41"/>
  <c r="CB273" i="41"/>
  <c r="CA281" i="41"/>
  <c r="CA192" i="41"/>
  <c r="CA183" i="41"/>
  <c r="CA109" i="41"/>
  <c r="CA178" i="41"/>
  <c r="CA89" i="41"/>
  <c r="CA187" i="41"/>
  <c r="CA110" i="41"/>
  <c r="CA88" i="41"/>
  <c r="CA182" i="41"/>
  <c r="CA188" i="41"/>
  <c r="CA55" i="41"/>
  <c r="CA193" i="41"/>
  <c r="CA177" i="41"/>
  <c r="CA54" i="41"/>
  <c r="BY193" i="41"/>
  <c r="BY192" i="41"/>
  <c r="BZ188" i="41"/>
  <c r="CB184" i="41"/>
  <c r="CB177" i="41"/>
  <c r="CB110" i="41"/>
  <c r="BZ89" i="41"/>
  <c r="CB88" i="41"/>
  <c r="BY54" i="41"/>
  <c r="BZ182" i="41"/>
  <c r="BY110" i="41"/>
  <c r="BY88" i="41"/>
  <c r="BZ55" i="41"/>
  <c r="BZ192" i="41"/>
  <c r="BY109" i="41"/>
  <c r="CB89" i="41"/>
  <c r="BY55" i="41"/>
  <c r="BZ54" i="41"/>
  <c r="BY188" i="41"/>
  <c r="CB187" i="41"/>
  <c r="BZ184" i="41"/>
  <c r="BY183" i="41"/>
  <c r="CB182" i="41"/>
  <c r="BY178" i="41"/>
  <c r="BZ177" i="41"/>
  <c r="BZ110" i="41"/>
  <c r="CB109" i="41"/>
  <c r="BY89" i="41"/>
  <c r="BZ88" i="41"/>
  <c r="CB55" i="41"/>
  <c r="CB192" i="41"/>
  <c r="BZ187" i="41"/>
  <c r="BY184" i="41"/>
  <c r="BY177" i="41"/>
  <c r="U177" i="41" s="1"/>
  <c r="BZ109" i="41"/>
  <c r="CB54" i="41"/>
  <c r="BY187" i="41"/>
  <c r="BY182" i="41"/>
  <c r="U182" i="41" s="1"/>
  <c r="CB178" i="41"/>
  <c r="BZ178" i="41"/>
  <c r="CB183" i="41"/>
  <c r="BZ183" i="41"/>
  <c r="BZ193" i="41"/>
  <c r="CB193" i="41"/>
  <c r="CB188" i="41"/>
  <c r="CA184" i="41"/>
  <c r="T192" i="41"/>
  <c r="T183" i="41"/>
  <c r="T188" i="41"/>
  <c r="T276" i="41"/>
  <c r="T268" i="41"/>
  <c r="T255" i="41"/>
  <c r="T273" i="41"/>
  <c r="T251" i="41"/>
  <c r="T252" i="41"/>
  <c r="BW120" i="41"/>
  <c r="BX120" i="41"/>
  <c r="BQ292" i="41"/>
  <c r="BT292" i="41"/>
  <c r="BV231" i="41"/>
  <c r="BV120" i="41"/>
  <c r="BU231" i="41"/>
  <c r="BS294" i="41"/>
  <c r="H17" i="45" s="1"/>
  <c r="BR292" i="41"/>
  <c r="BX231" i="41"/>
  <c r="BU120" i="41"/>
  <c r="BW231" i="41"/>
  <c r="BS292" i="41"/>
  <c r="F16" i="45"/>
  <c r="J16" i="45" s="1"/>
  <c r="BR294" i="41"/>
  <c r="G17" i="45" s="1"/>
  <c r="BT294" i="41"/>
  <c r="I17" i="45" s="1"/>
  <c r="BX290" i="41"/>
  <c r="BW290" i="41"/>
  <c r="BV290" i="41"/>
  <c r="BQ294" i="41"/>
  <c r="F17" i="45" s="1"/>
  <c r="BU290" i="41"/>
  <c r="T267" i="41"/>
  <c r="T245" i="41"/>
  <c r="T244" i="41"/>
  <c r="T243" i="41"/>
  <c r="T266" i="41"/>
  <c r="T262" i="41"/>
  <c r="BZ262" i="41"/>
  <c r="BZ263" i="41"/>
  <c r="BZ264" i="41"/>
  <c r="BZ265" i="41"/>
  <c r="BY262" i="41"/>
  <c r="CB264" i="41"/>
  <c r="CA265" i="41"/>
  <c r="CA266" i="41"/>
  <c r="CA262" i="41"/>
  <c r="BY263" i="41"/>
  <c r="CB265" i="41"/>
  <c r="CB266" i="41"/>
  <c r="CB267" i="41"/>
  <c r="CB262" i="41"/>
  <c r="CA263" i="41"/>
  <c r="BY264" i="41"/>
  <c r="BY266" i="41"/>
  <c r="BY267" i="41"/>
  <c r="BZ266" i="41"/>
  <c r="CB263" i="41"/>
  <c r="BY265" i="41"/>
  <c r="BZ267" i="41"/>
  <c r="CB242" i="41"/>
  <c r="BY243" i="41"/>
  <c r="BZ244" i="41"/>
  <c r="CA267" i="41"/>
  <c r="CA242" i="41"/>
  <c r="CB243" i="41"/>
  <c r="CB244" i="41"/>
  <c r="BZ245" i="41"/>
  <c r="CA264" i="41"/>
  <c r="BY245" i="41"/>
  <c r="CA245" i="41"/>
  <c r="CA244" i="41"/>
  <c r="BY242" i="41"/>
  <c r="BZ243" i="41"/>
  <c r="BY244" i="41"/>
  <c r="CB245" i="41"/>
  <c r="BZ242" i="41"/>
  <c r="CA243" i="41"/>
  <c r="T242" i="41"/>
  <c r="T264" i="41"/>
  <c r="T263" i="41"/>
  <c r="T265" i="41"/>
  <c r="W284" i="41"/>
  <c r="W286" i="41"/>
  <c r="W288" i="41"/>
  <c r="W285" i="41"/>
  <c r="W287" i="41"/>
  <c r="W289" i="41"/>
  <c r="T260" i="41"/>
  <c r="T236" i="41"/>
  <c r="T261" i="41"/>
  <c r="T258" i="41"/>
  <c r="CA258" i="41"/>
  <c r="BY259" i="41"/>
  <c r="CA260" i="41"/>
  <c r="CB258" i="41"/>
  <c r="BZ259" i="41"/>
  <c r="CB260" i="41"/>
  <c r="BY258" i="41"/>
  <c r="CA259" i="41"/>
  <c r="BZ258" i="41"/>
  <c r="CB259" i="41"/>
  <c r="BZ260" i="41"/>
  <c r="CA261" i="41"/>
  <c r="CB261" i="41"/>
  <c r="BY260" i="41"/>
  <c r="BY261" i="41"/>
  <c r="BZ261" i="41"/>
  <c r="T259" i="41"/>
  <c r="T237" i="41"/>
  <c r="T238" i="41"/>
  <c r="T241" i="41"/>
  <c r="CB236" i="41"/>
  <c r="BZ237" i="41"/>
  <c r="CB238" i="41"/>
  <c r="BZ236" i="41"/>
  <c r="CB237" i="41"/>
  <c r="BZ238" i="41"/>
  <c r="BY236" i="41"/>
  <c r="BY239" i="41"/>
  <c r="CA240" i="41"/>
  <c r="BY241" i="41"/>
  <c r="CA236" i="41"/>
  <c r="BY237" i="41"/>
  <c r="BZ239" i="41"/>
  <c r="CB240" i="41"/>
  <c r="CA237" i="41"/>
  <c r="BY238" i="41"/>
  <c r="CA239" i="41"/>
  <c r="BY240" i="41"/>
  <c r="CA241" i="41"/>
  <c r="CB241" i="41"/>
  <c r="BZ240" i="41"/>
  <c r="CA238" i="41"/>
  <c r="CB239" i="41"/>
  <c r="BZ241" i="41"/>
  <c r="T240" i="41"/>
  <c r="T239" i="41"/>
  <c r="CA208" i="41"/>
  <c r="CA136" i="41"/>
  <c r="CA105" i="41"/>
  <c r="CA97" i="41"/>
  <c r="CA92" i="41"/>
  <c r="CA87" i="41"/>
  <c r="CA74" i="41"/>
  <c r="CA69" i="41"/>
  <c r="CA50" i="41"/>
  <c r="CA42" i="41"/>
  <c r="CA37" i="41"/>
  <c r="CA32" i="41"/>
  <c r="CA24" i="41"/>
  <c r="CA19" i="41"/>
  <c r="CA14" i="41"/>
  <c r="CA209" i="41"/>
  <c r="CA137" i="41"/>
  <c r="CA106" i="41"/>
  <c r="CA93" i="41"/>
  <c r="CA75" i="41"/>
  <c r="CA51" i="41"/>
  <c r="CA38" i="41"/>
  <c r="CA20" i="41"/>
  <c r="CA214" i="41"/>
  <c r="CA73" i="41"/>
  <c r="CA41" i="41"/>
  <c r="CA23" i="41"/>
  <c r="CA213" i="41"/>
  <c r="CA96" i="41"/>
  <c r="CA173" i="41"/>
  <c r="CA78" i="41"/>
  <c r="CA36" i="41"/>
  <c r="CA18" i="41"/>
  <c r="CA91" i="41"/>
  <c r="CA172" i="41"/>
  <c r="CA174" i="41"/>
  <c r="CA210" i="41"/>
  <c r="CA215" i="41"/>
  <c r="CA138" i="41"/>
  <c r="BZ97" i="41"/>
  <c r="CB97" i="41"/>
  <c r="BY97" i="41"/>
  <c r="CB24" i="41"/>
  <c r="BY24" i="41"/>
  <c r="BZ24" i="41"/>
  <c r="T213" i="41"/>
  <c r="T172" i="41"/>
  <c r="T210" i="41"/>
  <c r="T137" i="41"/>
  <c r="T136" i="41"/>
  <c r="T174" i="41"/>
  <c r="T209" i="41"/>
  <c r="T138" i="41"/>
  <c r="BY215" i="41"/>
  <c r="BY213" i="41"/>
  <c r="BY210" i="41"/>
  <c r="CB215" i="41"/>
  <c r="CB213" i="41"/>
  <c r="CB210" i="41"/>
  <c r="BZ215" i="41"/>
  <c r="BY214" i="41"/>
  <c r="BZ213" i="41"/>
  <c r="BZ210" i="41"/>
  <c r="BY209" i="41"/>
  <c r="BZ208" i="41"/>
  <c r="BY208" i="41"/>
  <c r="BZ174" i="41"/>
  <c r="BY173" i="41"/>
  <c r="BZ172" i="41"/>
  <c r="CB208" i="41"/>
  <c r="CB174" i="41"/>
  <c r="CB172" i="41"/>
  <c r="BY174" i="41"/>
  <c r="BY172" i="41"/>
  <c r="BZ138" i="41"/>
  <c r="BY137" i="41"/>
  <c r="BY138" i="41"/>
  <c r="BY136" i="41"/>
  <c r="BY105" i="41"/>
  <c r="BY96" i="41"/>
  <c r="BY93" i="41"/>
  <c r="BZ136" i="41"/>
  <c r="BY106" i="41"/>
  <c r="BZ96" i="41"/>
  <c r="CB136" i="41"/>
  <c r="BZ106" i="41"/>
  <c r="BZ105" i="41"/>
  <c r="CB96" i="41"/>
  <c r="BZ93" i="41"/>
  <c r="BY92" i="41"/>
  <c r="BY91" i="41"/>
  <c r="CB87" i="41"/>
  <c r="CB138" i="41"/>
  <c r="CB92" i="41"/>
  <c r="CB91" i="41"/>
  <c r="CB106" i="41"/>
  <c r="CB93" i="41"/>
  <c r="BZ92" i="41"/>
  <c r="BZ91" i="41"/>
  <c r="BY87" i="41"/>
  <c r="BY78" i="41"/>
  <c r="BY75" i="41"/>
  <c r="BY74" i="41"/>
  <c r="BY73" i="41"/>
  <c r="CB69" i="41"/>
  <c r="BZ50" i="41"/>
  <c r="CB78" i="41"/>
  <c r="CB74" i="41"/>
  <c r="BZ69" i="41"/>
  <c r="BZ51" i="41"/>
  <c r="BZ78" i="41"/>
  <c r="BZ74" i="41"/>
  <c r="BY69" i="41"/>
  <c r="BY51" i="41"/>
  <c r="BY50" i="41"/>
  <c r="BY42" i="41"/>
  <c r="BY41" i="41"/>
  <c r="BY38" i="41"/>
  <c r="BY37" i="41"/>
  <c r="BY36" i="41"/>
  <c r="CB105" i="41"/>
  <c r="BZ75" i="41"/>
  <c r="BZ73" i="41"/>
  <c r="CB51" i="41"/>
  <c r="CB50" i="41"/>
  <c r="BZ42" i="41"/>
  <c r="BZ41" i="41"/>
  <c r="BZ38" i="41"/>
  <c r="BZ37" i="41"/>
  <c r="CB75" i="41"/>
  <c r="BY20" i="41"/>
  <c r="BZ19" i="41"/>
  <c r="BZ87" i="41"/>
  <c r="CB38" i="41"/>
  <c r="BZ32" i="41"/>
  <c r="CB23" i="41"/>
  <c r="BY19" i="41"/>
  <c r="BZ18" i="41"/>
  <c r="CB41" i="41"/>
  <c r="CB73" i="41"/>
  <c r="CB42" i="41"/>
  <c r="CB36" i="41"/>
  <c r="BY23" i="41"/>
  <c r="BZ20" i="41"/>
  <c r="CB19" i="41"/>
  <c r="CB37" i="41"/>
  <c r="BZ36" i="41"/>
  <c r="CB32" i="41"/>
  <c r="CB18" i="41"/>
  <c r="BY32" i="41"/>
  <c r="BZ23" i="41"/>
  <c r="CB20" i="41"/>
  <c r="BY18" i="41"/>
  <c r="CB173" i="41"/>
  <c r="CB209" i="41"/>
  <c r="CB214" i="41"/>
  <c r="BZ214" i="41"/>
  <c r="BZ209" i="41"/>
  <c r="BZ173" i="41"/>
  <c r="BZ137" i="41"/>
  <c r="CB137" i="41"/>
  <c r="T173" i="41"/>
  <c r="T208" i="41"/>
  <c r="T215" i="41"/>
  <c r="T214" i="41"/>
  <c r="T51" i="41"/>
  <c r="T18" i="41"/>
  <c r="T23" i="41"/>
  <c r="T110" i="41"/>
  <c r="T73" i="41"/>
  <c r="T38" i="41"/>
  <c r="T52" i="41"/>
  <c r="T81" i="41"/>
  <c r="T70" i="41"/>
  <c r="T106" i="41"/>
  <c r="T78" i="41"/>
  <c r="T111" i="41"/>
  <c r="T119" i="41"/>
  <c r="T117" i="41"/>
  <c r="T96" i="41"/>
  <c r="T40" i="41"/>
  <c r="T74" i="41"/>
  <c r="T82" i="41"/>
  <c r="T89" i="41"/>
  <c r="T99" i="41"/>
  <c r="T14" i="41"/>
  <c r="T24" i="41"/>
  <c r="T77" i="41"/>
  <c r="T59" i="41"/>
  <c r="T64" i="41"/>
  <c r="T115" i="41"/>
  <c r="T101" i="41"/>
  <c r="T16" i="41"/>
  <c r="T22" i="41"/>
  <c r="T27" i="41"/>
  <c r="T75" i="41"/>
  <c r="T36" i="41"/>
  <c r="T37" i="41"/>
  <c r="T42" i="41"/>
  <c r="T50" i="41"/>
  <c r="T56" i="41"/>
  <c r="T62" i="41"/>
  <c r="T91" i="41"/>
  <c r="T87" i="41"/>
  <c r="T92" i="41"/>
  <c r="T97" i="41"/>
  <c r="T114" i="41"/>
  <c r="X8" i="41"/>
  <c r="W132" i="41"/>
  <c r="W131" i="41"/>
  <c r="W128" i="41"/>
  <c r="W147" i="41"/>
  <c r="W157" i="41"/>
  <c r="W127" i="41"/>
  <c r="W143" i="41"/>
  <c r="W146" i="41"/>
  <c r="W153" i="41"/>
  <c r="W156" i="41"/>
  <c r="W164" i="41"/>
  <c r="W126" i="41"/>
  <c r="W148" i="41"/>
  <c r="W169" i="41"/>
  <c r="W205" i="41"/>
  <c r="W219" i="41"/>
  <c r="W218" i="41"/>
  <c r="W229" i="41"/>
  <c r="W133" i="41"/>
  <c r="W142" i="41"/>
  <c r="W151" i="41"/>
  <c r="W163" i="41"/>
  <c r="W194" i="41"/>
  <c r="W198" i="41"/>
  <c r="W220" i="41"/>
  <c r="W230" i="41"/>
  <c r="W158" i="41"/>
  <c r="W167" i="41"/>
  <c r="W199" i="41"/>
  <c r="W224" i="41"/>
  <c r="W162" i="41"/>
  <c r="W189" i="41"/>
  <c r="W204" i="41"/>
  <c r="W203" i="41"/>
  <c r="W223" i="41"/>
  <c r="W152" i="41"/>
  <c r="W168" i="41"/>
  <c r="W179" i="41"/>
  <c r="W141" i="41"/>
  <c r="W228" i="41"/>
  <c r="W200" i="41"/>
  <c r="W225" i="41"/>
  <c r="T28" i="41"/>
  <c r="T44" i="41"/>
  <c r="T58" i="41"/>
  <c r="T100" i="41"/>
  <c r="T93" i="41"/>
  <c r="T88" i="41"/>
  <c r="T19" i="41"/>
  <c r="T32" i="41"/>
  <c r="T45" i="41"/>
  <c r="T54" i="41"/>
  <c r="T105" i="41"/>
  <c r="T95" i="41"/>
  <c r="T118" i="41"/>
  <c r="T33" i="41"/>
  <c r="T15" i="41"/>
  <c r="T20" i="41"/>
  <c r="T26" i="41"/>
  <c r="T34" i="41"/>
  <c r="T63" i="41"/>
  <c r="T71" i="41"/>
  <c r="T41" i="41"/>
  <c r="T46" i="41"/>
  <c r="T55" i="41"/>
  <c r="T60" i="41"/>
  <c r="T69" i="41"/>
  <c r="T83" i="41"/>
  <c r="T79" i="41"/>
  <c r="T107" i="41"/>
  <c r="T113" i="41"/>
  <c r="T109" i="41"/>
  <c r="CB14" i="41"/>
  <c r="BY14" i="41"/>
  <c r="BZ14" i="41"/>
  <c r="CC7" i="41"/>
  <c r="U270" i="41" l="1"/>
  <c r="U255" i="41"/>
  <c r="U249" i="41"/>
  <c r="U187" i="41"/>
  <c r="U247" i="41"/>
  <c r="U183" i="41"/>
  <c r="U282" i="41"/>
  <c r="U254" i="41"/>
  <c r="U184" i="41"/>
  <c r="U277" i="41"/>
  <c r="U178" i="41"/>
  <c r="U268" i="41"/>
  <c r="U273" i="41"/>
  <c r="U252" i="41"/>
  <c r="U248" i="41"/>
  <c r="U246" i="41"/>
  <c r="U253" i="41"/>
  <c r="U192" i="41"/>
  <c r="U275" i="41"/>
  <c r="U193" i="41"/>
  <c r="U281" i="41"/>
  <c r="U271" i="41"/>
  <c r="U272" i="41"/>
  <c r="U276" i="41"/>
  <c r="CC254" i="41"/>
  <c r="CC253" i="41"/>
  <c r="CD252" i="41"/>
  <c r="CC255" i="41"/>
  <c r="CC252" i="41"/>
  <c r="CC251" i="41"/>
  <c r="CD254" i="41"/>
  <c r="CD250" i="41"/>
  <c r="CC249" i="41"/>
  <c r="CC248" i="41"/>
  <c r="CD277" i="41"/>
  <c r="CC275" i="41"/>
  <c r="CD272" i="41"/>
  <c r="CC247" i="41"/>
  <c r="CC276" i="41"/>
  <c r="CC250" i="41"/>
  <c r="CC277" i="41"/>
  <c r="CC246" i="41"/>
  <c r="CC274" i="41"/>
  <c r="CC270" i="41"/>
  <c r="CC273" i="41"/>
  <c r="CC271" i="41"/>
  <c r="CC269" i="41"/>
  <c r="CC268" i="41"/>
  <c r="CC272" i="41"/>
  <c r="CE255" i="41"/>
  <c r="CE254" i="41"/>
  <c r="CF254" i="41"/>
  <c r="CE251" i="41"/>
  <c r="CF251" i="41"/>
  <c r="CE249" i="41"/>
  <c r="CE248" i="41"/>
  <c r="CE247" i="41"/>
  <c r="CE246" i="41"/>
  <c r="CE276" i="41"/>
  <c r="CE275" i="41"/>
  <c r="CF275" i="41"/>
  <c r="CF274" i="41"/>
  <c r="CD271" i="41"/>
  <c r="CF271" i="41"/>
  <c r="CD270" i="41"/>
  <c r="CE268" i="41"/>
  <c r="CD253" i="41"/>
  <c r="CF252" i="41"/>
  <c r="CD248" i="41"/>
  <c r="CF248" i="41"/>
  <c r="CF247" i="41"/>
  <c r="CF246" i="41"/>
  <c r="CF276" i="41"/>
  <c r="CD275" i="41"/>
  <c r="CF272" i="41"/>
  <c r="CD269" i="41"/>
  <c r="CD280" i="41"/>
  <c r="CF255" i="41"/>
  <c r="CE253" i="41"/>
  <c r="CE252" i="41"/>
  <c r="CF249" i="41"/>
  <c r="CE277" i="41"/>
  <c r="CD276" i="41"/>
  <c r="CF273" i="41"/>
  <c r="CF270" i="41"/>
  <c r="CF280" i="41"/>
  <c r="CF281" i="41"/>
  <c r="CF282" i="41"/>
  <c r="CF283" i="41"/>
  <c r="CF253" i="41"/>
  <c r="CD251" i="41"/>
  <c r="CE250" i="41"/>
  <c r="CD249" i="41"/>
  <c r="CD246" i="41"/>
  <c r="CF277" i="41"/>
  <c r="CD274" i="41"/>
  <c r="CE269" i="41"/>
  <c r="CF268" i="41"/>
  <c r="CC281" i="41"/>
  <c r="CC282" i="41"/>
  <c r="CC283" i="41"/>
  <c r="CF250" i="41"/>
  <c r="CE274" i="41"/>
  <c r="CD273" i="41"/>
  <c r="CE273" i="41"/>
  <c r="CF269" i="41"/>
  <c r="CD268" i="41"/>
  <c r="CC280" i="41"/>
  <c r="CD281" i="41"/>
  <c r="CD282" i="41"/>
  <c r="CD283" i="41"/>
  <c r="CD255" i="41"/>
  <c r="CE272" i="41"/>
  <c r="CE281" i="41"/>
  <c r="CD247" i="41"/>
  <c r="CE280" i="41"/>
  <c r="CE283" i="41"/>
  <c r="CE271" i="41"/>
  <c r="CE270" i="41"/>
  <c r="CE282" i="41"/>
  <c r="CE192" i="41"/>
  <c r="CE183" i="41"/>
  <c r="CE109" i="41"/>
  <c r="CE188" i="41"/>
  <c r="CE89" i="41"/>
  <c r="CE187" i="41"/>
  <c r="CE110" i="41"/>
  <c r="CE182" i="41"/>
  <c r="CE178" i="41"/>
  <c r="CE55" i="41"/>
  <c r="CE193" i="41"/>
  <c r="CE177" i="41"/>
  <c r="CE88" i="41"/>
  <c r="CE54" i="41"/>
  <c r="CD192" i="41"/>
  <c r="CC187" i="41"/>
  <c r="CC183" i="41"/>
  <c r="CC182" i="41"/>
  <c r="CC178" i="41"/>
  <c r="CC109" i="41"/>
  <c r="CF89" i="41"/>
  <c r="CC55" i="41"/>
  <c r="CD54" i="41"/>
  <c r="CD177" i="41"/>
  <c r="CF109" i="41"/>
  <c r="CF55" i="41"/>
  <c r="CC193" i="41"/>
  <c r="CC188" i="41"/>
  <c r="CD187" i="41"/>
  <c r="CD182" i="41"/>
  <c r="CC177" i="41"/>
  <c r="V177" i="41" s="1"/>
  <c r="CC88" i="41"/>
  <c r="CD55" i="41"/>
  <c r="CC192" i="41"/>
  <c r="CF184" i="41"/>
  <c r="CF177" i="41"/>
  <c r="CF110" i="41"/>
  <c r="CD89" i="41"/>
  <c r="CF88" i="41"/>
  <c r="CC54" i="41"/>
  <c r="CD188" i="41"/>
  <c r="CF187" i="41"/>
  <c r="CD184" i="41"/>
  <c r="CF182" i="41"/>
  <c r="CD110" i="41"/>
  <c r="CC89" i="41"/>
  <c r="CD88" i="41"/>
  <c r="CF192" i="41"/>
  <c r="CC184" i="41"/>
  <c r="CC110" i="41"/>
  <c r="CD109" i="41"/>
  <c r="CF54" i="41"/>
  <c r="CD178" i="41"/>
  <c r="CF178" i="41"/>
  <c r="CD183" i="41"/>
  <c r="CF183" i="41"/>
  <c r="CE184" i="41"/>
  <c r="CD193" i="41"/>
  <c r="CF188" i="41"/>
  <c r="CF193" i="41"/>
  <c r="U188" i="41"/>
  <c r="U283" i="41"/>
  <c r="U269" i="41"/>
  <c r="U250" i="41"/>
  <c r="U274" i="41"/>
  <c r="U251" i="41"/>
  <c r="BW292" i="41"/>
  <c r="BV292" i="41"/>
  <c r="CB231" i="41"/>
  <c r="CA120" i="41"/>
  <c r="BZ120" i="41"/>
  <c r="CA231" i="41"/>
  <c r="BY120" i="41"/>
  <c r="BX292" i="41"/>
  <c r="BU292" i="41"/>
  <c r="CB120" i="41"/>
  <c r="BZ231" i="41"/>
  <c r="BY231" i="41"/>
  <c r="BX294" i="41"/>
  <c r="I18" i="45" s="1"/>
  <c r="BU294" i="41"/>
  <c r="F18" i="45" s="1"/>
  <c r="BV294" i="41"/>
  <c r="G18" i="45" s="1"/>
  <c r="BW294" i="41"/>
  <c r="H18" i="45" s="1"/>
  <c r="BZ290" i="41"/>
  <c r="CA290" i="41"/>
  <c r="CB290" i="41"/>
  <c r="BY290" i="41"/>
  <c r="U244" i="41"/>
  <c r="U245" i="41"/>
  <c r="U267" i="41"/>
  <c r="U263" i="41"/>
  <c r="U265" i="41"/>
  <c r="U266" i="41"/>
  <c r="U262" i="41"/>
  <c r="U242" i="41"/>
  <c r="CD262" i="41"/>
  <c r="CD263" i="41"/>
  <c r="CD264" i="41"/>
  <c r="CD265" i="41"/>
  <c r="CE262" i="41"/>
  <c r="CC263" i="41"/>
  <c r="CF265" i="41"/>
  <c r="CE266" i="41"/>
  <c r="CF262" i="41"/>
  <c r="CE263" i="41"/>
  <c r="CC264" i="41"/>
  <c r="CF266" i="41"/>
  <c r="CF267" i="41"/>
  <c r="CF263" i="41"/>
  <c r="CE264" i="41"/>
  <c r="CC265" i="41"/>
  <c r="CC266" i="41"/>
  <c r="CC267" i="41"/>
  <c r="CF264" i="41"/>
  <c r="CD267" i="41"/>
  <c r="CD266" i="41"/>
  <c r="CE267" i="41"/>
  <c r="CE265" i="41"/>
  <c r="CF242" i="41"/>
  <c r="CC243" i="41"/>
  <c r="CD244" i="41"/>
  <c r="CC262" i="41"/>
  <c r="CD245" i="41"/>
  <c r="CE242" i="41"/>
  <c r="CF243" i="41"/>
  <c r="CC242" i="41"/>
  <c r="CD243" i="41"/>
  <c r="CC244" i="41"/>
  <c r="CE245" i="41"/>
  <c r="CC245" i="41"/>
  <c r="CD242" i="41"/>
  <c r="CE243" i="41"/>
  <c r="CE244" i="41"/>
  <c r="CF245" i="41"/>
  <c r="CF244" i="41"/>
  <c r="U243" i="41"/>
  <c r="U264" i="41"/>
  <c r="X284" i="41"/>
  <c r="X286" i="41"/>
  <c r="X288" i="41"/>
  <c r="X285" i="41"/>
  <c r="X287" i="41"/>
  <c r="X289" i="41"/>
  <c r="U260" i="41"/>
  <c r="U261" i="41"/>
  <c r="U258" i="41"/>
  <c r="CE258" i="41"/>
  <c r="CC259" i="41"/>
  <c r="CE260" i="41"/>
  <c r="CF258" i="41"/>
  <c r="CD259" i="41"/>
  <c r="CF260" i="41"/>
  <c r="CC258" i="41"/>
  <c r="CE259" i="41"/>
  <c r="CD258" i="41"/>
  <c r="CF259" i="41"/>
  <c r="CD260" i="41"/>
  <c r="CE261" i="41"/>
  <c r="CF261" i="41"/>
  <c r="CC261" i="41"/>
  <c r="CC260" i="41"/>
  <c r="CD261" i="41"/>
  <c r="U259" i="41"/>
  <c r="U238" i="41"/>
  <c r="U237" i="41"/>
  <c r="U239" i="41"/>
  <c r="CF236" i="41"/>
  <c r="CD237" i="41"/>
  <c r="CF238" i="41"/>
  <c r="CD236" i="41"/>
  <c r="CF237" i="41"/>
  <c r="CD238" i="41"/>
  <c r="CE237" i="41"/>
  <c r="CC238" i="41"/>
  <c r="CC239" i="41"/>
  <c r="CE240" i="41"/>
  <c r="CC241" i="41"/>
  <c r="CE238" i="41"/>
  <c r="CD239" i="41"/>
  <c r="CF240" i="41"/>
  <c r="CC236" i="41"/>
  <c r="CE239" i="41"/>
  <c r="CC240" i="41"/>
  <c r="CE241" i="41"/>
  <c r="CC237" i="41"/>
  <c r="CD241" i="41"/>
  <c r="CE236" i="41"/>
  <c r="CD240" i="41"/>
  <c r="CF241" i="41"/>
  <c r="CF239" i="41"/>
  <c r="U236" i="41"/>
  <c r="U240" i="41"/>
  <c r="U241" i="41"/>
  <c r="CE214" i="41"/>
  <c r="CE173" i="41"/>
  <c r="CE96" i="41"/>
  <c r="CE91" i="41"/>
  <c r="CE78" i="41"/>
  <c r="CE73" i="41"/>
  <c r="CE41" i="41"/>
  <c r="CE36" i="41"/>
  <c r="CE23" i="41"/>
  <c r="CE18" i="41"/>
  <c r="CE208" i="41"/>
  <c r="CE136" i="41"/>
  <c r="CE105" i="41"/>
  <c r="CE97" i="41"/>
  <c r="CE92" i="41"/>
  <c r="CE87" i="41"/>
  <c r="CE74" i="41"/>
  <c r="CE69" i="41"/>
  <c r="CE50" i="41"/>
  <c r="CE42" i="41"/>
  <c r="CE37" i="41"/>
  <c r="CE32" i="41"/>
  <c r="CE24" i="41"/>
  <c r="CE19" i="41"/>
  <c r="CE14" i="41"/>
  <c r="CE213" i="41"/>
  <c r="CE51" i="41"/>
  <c r="CE20" i="41"/>
  <c r="CE106" i="41"/>
  <c r="CE209" i="41"/>
  <c r="CE38" i="41"/>
  <c r="CE172" i="41"/>
  <c r="CE93" i="41"/>
  <c r="CE75" i="41"/>
  <c r="CE137" i="41"/>
  <c r="CE215" i="41"/>
  <c r="CE210" i="41"/>
  <c r="CE174" i="41"/>
  <c r="CE138" i="41"/>
  <c r="J17" i="45"/>
  <c r="U172" i="41"/>
  <c r="CF97" i="41"/>
  <c r="CC24" i="41"/>
  <c r="CF24" i="41"/>
  <c r="CD97" i="41"/>
  <c r="CD24" i="41"/>
  <c r="CC97" i="41"/>
  <c r="U173" i="41"/>
  <c r="U209" i="41"/>
  <c r="U210" i="41"/>
  <c r="U138" i="41"/>
  <c r="CC215" i="41"/>
  <c r="CC213" i="41"/>
  <c r="CC210" i="41"/>
  <c r="CF215" i="41"/>
  <c r="CC214" i="41"/>
  <c r="CF213" i="41"/>
  <c r="CF210" i="41"/>
  <c r="CC209" i="41"/>
  <c r="CD215" i="41"/>
  <c r="CD213" i="41"/>
  <c r="CD210" i="41"/>
  <c r="CD208" i="41"/>
  <c r="CF208" i="41"/>
  <c r="CD174" i="41"/>
  <c r="CD172" i="41"/>
  <c r="CF174" i="41"/>
  <c r="CC173" i="41"/>
  <c r="CF172" i="41"/>
  <c r="CC208" i="41"/>
  <c r="CD138" i="41"/>
  <c r="CC138" i="41"/>
  <c r="CC136" i="41"/>
  <c r="CC105" i="41"/>
  <c r="CC96" i="41"/>
  <c r="CC93" i="41"/>
  <c r="CC174" i="41"/>
  <c r="CD106" i="41"/>
  <c r="CD105" i="41"/>
  <c r="CF93" i="41"/>
  <c r="CC172" i="41"/>
  <c r="CF138" i="41"/>
  <c r="CF136" i="41"/>
  <c r="CC137" i="41"/>
  <c r="CF106" i="41"/>
  <c r="CD136" i="41"/>
  <c r="CC92" i="41"/>
  <c r="CC91" i="41"/>
  <c r="CF87" i="41"/>
  <c r="CF105" i="41"/>
  <c r="CF92" i="41"/>
  <c r="CF91" i="41"/>
  <c r="CD96" i="41"/>
  <c r="CD92" i="41"/>
  <c r="CD91" i="41"/>
  <c r="CC87" i="41"/>
  <c r="CC78" i="41"/>
  <c r="CC75" i="41"/>
  <c r="CC74" i="41"/>
  <c r="CC73" i="41"/>
  <c r="CF69" i="41"/>
  <c r="CD50" i="41"/>
  <c r="CC106" i="41"/>
  <c r="CF75" i="41"/>
  <c r="CF73" i="41"/>
  <c r="CF51" i="41"/>
  <c r="CF50" i="41"/>
  <c r="CD87" i="41"/>
  <c r="CD75" i="41"/>
  <c r="CD73" i="41"/>
  <c r="CD69" i="41"/>
  <c r="CD51" i="41"/>
  <c r="CC42" i="41"/>
  <c r="CC41" i="41"/>
  <c r="CC38" i="41"/>
  <c r="CC37" i="41"/>
  <c r="CC36" i="41"/>
  <c r="CF96" i="41"/>
  <c r="CD78" i="41"/>
  <c r="CD74" i="41"/>
  <c r="CD42" i="41"/>
  <c r="CD41" i="41"/>
  <c r="CD38" i="41"/>
  <c r="CD37" i="41"/>
  <c r="CC19" i="41"/>
  <c r="CD93" i="41"/>
  <c r="CF74" i="41"/>
  <c r="CC51" i="41"/>
  <c r="CF41" i="41"/>
  <c r="CF36" i="41"/>
  <c r="CF32" i="41"/>
  <c r="CC20" i="41"/>
  <c r="CD19" i="41"/>
  <c r="CF18" i="41"/>
  <c r="CF78" i="41"/>
  <c r="CF42" i="41"/>
  <c r="CF23" i="41"/>
  <c r="CD18" i="41"/>
  <c r="CC69" i="41"/>
  <c r="CC50" i="41"/>
  <c r="CF37" i="41"/>
  <c r="CC32" i="41"/>
  <c r="CD23" i="41"/>
  <c r="CF20" i="41"/>
  <c r="CC18" i="41"/>
  <c r="CF38" i="41"/>
  <c r="CC23" i="41"/>
  <c r="CD20" i="41"/>
  <c r="CF19" i="41"/>
  <c r="CD36" i="41"/>
  <c r="CD32" i="41"/>
  <c r="CF214" i="41"/>
  <c r="CF173" i="41"/>
  <c r="CD214" i="41"/>
  <c r="CD209" i="41"/>
  <c r="CD173" i="41"/>
  <c r="CF209" i="41"/>
  <c r="CD137" i="41"/>
  <c r="CF137" i="41"/>
  <c r="U136" i="41"/>
  <c r="U214" i="41"/>
  <c r="U174" i="41"/>
  <c r="U213" i="41"/>
  <c r="U137" i="41"/>
  <c r="U208" i="41"/>
  <c r="U215" i="41"/>
  <c r="U73" i="41"/>
  <c r="U74" i="41"/>
  <c r="U87" i="41"/>
  <c r="U117" i="41"/>
  <c r="U15" i="41"/>
  <c r="U33" i="41"/>
  <c r="U16" i="41"/>
  <c r="U38" i="41"/>
  <c r="U58" i="41"/>
  <c r="U81" i="41"/>
  <c r="U26" i="41"/>
  <c r="U89" i="41"/>
  <c r="U37" i="41"/>
  <c r="U51" i="41"/>
  <c r="U83" i="41"/>
  <c r="U88" i="41"/>
  <c r="U95" i="41"/>
  <c r="U100" i="41"/>
  <c r="U113" i="41"/>
  <c r="U119" i="41"/>
  <c r="U118" i="41"/>
  <c r="U20" i="41"/>
  <c r="U42" i="41"/>
  <c r="U56" i="41"/>
  <c r="U22" i="41"/>
  <c r="U36" i="41"/>
  <c r="U44" i="41"/>
  <c r="U101" i="41"/>
  <c r="U18" i="41"/>
  <c r="U23" i="41"/>
  <c r="U28" i="41"/>
  <c r="U40" i="41"/>
  <c r="U46" i="41"/>
  <c r="U54" i="41"/>
  <c r="U59" i="41"/>
  <c r="U69" i="41"/>
  <c r="U63" i="41"/>
  <c r="U71" i="41"/>
  <c r="U78" i="41"/>
  <c r="U75" i="41"/>
  <c r="U82" i="41"/>
  <c r="U97" i="41"/>
  <c r="U91" i="41"/>
  <c r="U92" i="41"/>
  <c r="U106" i="41"/>
  <c r="U110" i="41"/>
  <c r="U62" i="41"/>
  <c r="U27" i="41"/>
  <c r="U96" i="41"/>
  <c r="U52" i="41"/>
  <c r="U64" i="41"/>
  <c r="U107" i="41"/>
  <c r="U114" i="41"/>
  <c r="U14" i="41"/>
  <c r="U19" i="41"/>
  <c r="U24" i="41"/>
  <c r="U32" i="41"/>
  <c r="U34" i="41"/>
  <c r="U45" i="41"/>
  <c r="U41" i="41"/>
  <c r="U50" i="41"/>
  <c r="U55" i="41"/>
  <c r="U60" i="41"/>
  <c r="U70" i="41"/>
  <c r="U77" i="41"/>
  <c r="U79" i="41"/>
  <c r="U105" i="41"/>
  <c r="U93" i="41"/>
  <c r="U99" i="41"/>
  <c r="U109" i="41"/>
  <c r="U111" i="41"/>
  <c r="U115" i="41"/>
  <c r="Y8" i="41"/>
  <c r="X133" i="41"/>
  <c r="X132" i="41"/>
  <c r="X131" i="41"/>
  <c r="X126" i="41"/>
  <c r="X148" i="41"/>
  <c r="X158" i="41"/>
  <c r="X169" i="41"/>
  <c r="X147" i="41"/>
  <c r="X157" i="41"/>
  <c r="X142" i="41"/>
  <c r="X151" i="41"/>
  <c r="X163" i="41"/>
  <c r="X194" i="41"/>
  <c r="X198" i="41"/>
  <c r="X220" i="41"/>
  <c r="X230" i="41"/>
  <c r="X153" i="41"/>
  <c r="X156" i="41"/>
  <c r="X167" i="41"/>
  <c r="X199" i="41"/>
  <c r="X203" i="41"/>
  <c r="X224" i="41"/>
  <c r="X223" i="41"/>
  <c r="X128" i="41"/>
  <c r="X162" i="41"/>
  <c r="X189" i="41"/>
  <c r="X204" i="41"/>
  <c r="X143" i="41"/>
  <c r="X146" i="41"/>
  <c r="X218" i="41"/>
  <c r="X229" i="41"/>
  <c r="X141" i="41"/>
  <c r="X152" i="41"/>
  <c r="X168" i="41"/>
  <c r="X179" i="41"/>
  <c r="X200" i="41"/>
  <c r="X225" i="41"/>
  <c r="X228" i="41"/>
  <c r="X205" i="41"/>
  <c r="X219" i="41"/>
  <c r="X127" i="41"/>
  <c r="X164" i="41"/>
  <c r="CF14" i="41"/>
  <c r="CC14" i="41"/>
  <c r="CD14" i="41"/>
  <c r="CG7" i="41"/>
  <c r="V192" i="41" l="1"/>
  <c r="V247" i="41"/>
  <c r="V252" i="41"/>
  <c r="V254" i="41"/>
  <c r="V182" i="41"/>
  <c r="V251" i="41"/>
  <c r="V184" i="41"/>
  <c r="V183" i="41"/>
  <c r="V283" i="41"/>
  <c r="V272" i="41"/>
  <c r="V273" i="41"/>
  <c r="V277" i="41"/>
  <c r="V249" i="41"/>
  <c r="V188" i="41"/>
  <c r="V187" i="41"/>
  <c r="V280" i="41"/>
  <c r="V282" i="41"/>
  <c r="V268" i="41"/>
  <c r="V270" i="41"/>
  <c r="V250" i="41"/>
  <c r="V275" i="41"/>
  <c r="V255" i="41"/>
  <c r="CG255" i="41"/>
  <c r="CG251" i="41"/>
  <c r="CH254" i="41"/>
  <c r="CH250" i="41"/>
  <c r="CG254" i="41"/>
  <c r="CH252" i="41"/>
  <c r="CG250" i="41"/>
  <c r="CG249" i="41"/>
  <c r="CG248" i="41"/>
  <c r="CG252" i="41"/>
  <c r="CG247" i="41"/>
  <c r="CG274" i="41"/>
  <c r="CG246" i="41"/>
  <c r="CH277" i="41"/>
  <c r="CG275" i="41"/>
  <c r="CG273" i="41"/>
  <c r="CG269" i="41"/>
  <c r="CG253" i="41"/>
  <c r="CG276" i="41"/>
  <c r="CG268" i="41"/>
  <c r="CG277" i="41"/>
  <c r="CH272" i="41"/>
  <c r="CG271" i="41"/>
  <c r="CG270" i="41"/>
  <c r="CG272" i="41"/>
  <c r="CH255" i="41"/>
  <c r="CH253" i="41"/>
  <c r="CJ253" i="41"/>
  <c r="CI250" i="41"/>
  <c r="CH249" i="41"/>
  <c r="CH248" i="41"/>
  <c r="CH247" i="41"/>
  <c r="CH246" i="41"/>
  <c r="CI274" i="41"/>
  <c r="CI273" i="41"/>
  <c r="CJ273" i="41"/>
  <c r="CJ270" i="41"/>
  <c r="CJ269" i="41"/>
  <c r="CH268" i="41"/>
  <c r="CI255" i="41"/>
  <c r="CJ254" i="41"/>
  <c r="CH251" i="41"/>
  <c r="CI251" i="41"/>
  <c r="CJ251" i="41"/>
  <c r="CI249" i="41"/>
  <c r="CI248" i="41"/>
  <c r="CI247" i="41"/>
  <c r="CI246" i="41"/>
  <c r="CI276" i="41"/>
  <c r="CI275" i="41"/>
  <c r="CJ275" i="41"/>
  <c r="CJ274" i="41"/>
  <c r="CJ271" i="41"/>
  <c r="CH270" i="41"/>
  <c r="CI268" i="41"/>
  <c r="CH280" i="41"/>
  <c r="CI254" i="41"/>
  <c r="CJ252" i="41"/>
  <c r="CJ247" i="41"/>
  <c r="CI271" i="41"/>
  <c r="CI270" i="41"/>
  <c r="CJ281" i="41"/>
  <c r="CJ282" i="41"/>
  <c r="CJ283" i="41"/>
  <c r="CH283" i="41"/>
  <c r="CJ250" i="41"/>
  <c r="CJ255" i="41"/>
  <c r="CI253" i="41"/>
  <c r="CJ249" i="41"/>
  <c r="CH276" i="41"/>
  <c r="CJ272" i="41"/>
  <c r="CH269" i="41"/>
  <c r="CG280" i="41"/>
  <c r="CG281" i="41"/>
  <c r="CG282" i="41"/>
  <c r="CG283" i="41"/>
  <c r="CJ248" i="41"/>
  <c r="CJ246" i="41"/>
  <c r="CJ277" i="41"/>
  <c r="CH275" i="41"/>
  <c r="CH274" i="41"/>
  <c r="CH273" i="41"/>
  <c r="CI272" i="41"/>
  <c r="CI269" i="41"/>
  <c r="CJ268" i="41"/>
  <c r="CI280" i="41"/>
  <c r="CH281" i="41"/>
  <c r="CH282" i="41"/>
  <c r="CI252" i="41"/>
  <c r="CH271" i="41"/>
  <c r="CI282" i="41"/>
  <c r="CI277" i="41"/>
  <c r="CJ276" i="41"/>
  <c r="CI281" i="41"/>
  <c r="CJ280" i="41"/>
  <c r="CI283" i="41"/>
  <c r="CI192" i="41"/>
  <c r="CI183" i="41"/>
  <c r="CI109" i="41"/>
  <c r="CI188" i="41"/>
  <c r="CI55" i="41"/>
  <c r="CI177" i="41"/>
  <c r="CI54" i="41"/>
  <c r="CI182" i="41"/>
  <c r="CI178" i="41"/>
  <c r="CI89" i="41"/>
  <c r="CI193" i="41"/>
  <c r="CI187" i="41"/>
  <c r="CI110" i="41"/>
  <c r="CI88" i="41"/>
  <c r="CJ192" i="41"/>
  <c r="CH188" i="41"/>
  <c r="CH187" i="41"/>
  <c r="CG184" i="41"/>
  <c r="CH182" i="41"/>
  <c r="CG177" i="41"/>
  <c r="CG110" i="41"/>
  <c r="CH109" i="41"/>
  <c r="CG88" i="41"/>
  <c r="CH55" i="41"/>
  <c r="CJ54" i="41"/>
  <c r="CJ110" i="41"/>
  <c r="CH89" i="41"/>
  <c r="CJ88" i="41"/>
  <c r="CJ187" i="41"/>
  <c r="CH184" i="41"/>
  <c r="CG183" i="41"/>
  <c r="CG178" i="41"/>
  <c r="CH110" i="41"/>
  <c r="CJ109" i="41"/>
  <c r="CH192" i="41"/>
  <c r="CG188" i="41"/>
  <c r="CG187" i="41"/>
  <c r="W187" i="41" s="1"/>
  <c r="CG182" i="41"/>
  <c r="CG109" i="41"/>
  <c r="CJ89" i="41"/>
  <c r="CG55" i="41"/>
  <c r="CH54" i="41"/>
  <c r="CG193" i="41"/>
  <c r="CG192" i="41"/>
  <c r="CJ184" i="41"/>
  <c r="CJ177" i="41"/>
  <c r="CG54" i="41"/>
  <c r="CJ182" i="41"/>
  <c r="CH177" i="41"/>
  <c r="CG89" i="41"/>
  <c r="CH88" i="41"/>
  <c r="CJ55" i="41"/>
  <c r="CH178" i="41"/>
  <c r="CJ178" i="41"/>
  <c r="CJ183" i="41"/>
  <c r="CH183" i="41"/>
  <c r="CH193" i="41"/>
  <c r="CJ188" i="41"/>
  <c r="CI184" i="41"/>
  <c r="CJ193" i="41"/>
  <c r="V271" i="41"/>
  <c r="V246" i="41"/>
  <c r="V248" i="41"/>
  <c r="V253" i="41"/>
  <c r="V193" i="41"/>
  <c r="V178" i="41"/>
  <c r="V281" i="41"/>
  <c r="V269" i="41"/>
  <c r="V274" i="41"/>
  <c r="V276" i="41"/>
  <c r="CF120" i="41"/>
  <c r="CE120" i="41"/>
  <c r="BZ294" i="41"/>
  <c r="CA292" i="41"/>
  <c r="CB292" i="41"/>
  <c r="CF231" i="41"/>
  <c r="CE231" i="41"/>
  <c r="CD120" i="41"/>
  <c r="CD231" i="41"/>
  <c r="BZ292" i="41"/>
  <c r="CC120" i="41"/>
  <c r="CC231" i="41"/>
  <c r="BY294" i="41"/>
  <c r="F19" i="45" s="1"/>
  <c r="CA294" i="41"/>
  <c r="H19" i="45" s="1"/>
  <c r="CB294" i="41"/>
  <c r="I19" i="45" s="1"/>
  <c r="CE290" i="41"/>
  <c r="CD290" i="41"/>
  <c r="CF290" i="41"/>
  <c r="CF292" i="41" s="1"/>
  <c r="CC290" i="41"/>
  <c r="BY292" i="41"/>
  <c r="V262" i="41"/>
  <c r="V267" i="41"/>
  <c r="V263" i="41"/>
  <c r="V244" i="41"/>
  <c r="V243" i="41"/>
  <c r="V266" i="41"/>
  <c r="V265" i="41"/>
  <c r="CH262" i="41"/>
  <c r="CH263" i="41"/>
  <c r="CH264" i="41"/>
  <c r="CH265" i="41"/>
  <c r="CJ262" i="41"/>
  <c r="CI263" i="41"/>
  <c r="CG264" i="41"/>
  <c r="CI266" i="41"/>
  <c r="CJ263" i="41"/>
  <c r="CI264" i="41"/>
  <c r="CG265" i="41"/>
  <c r="CJ266" i="41"/>
  <c r="CJ267" i="41"/>
  <c r="CG262" i="41"/>
  <c r="CJ264" i="41"/>
  <c r="CI265" i="41"/>
  <c r="CG266" i="41"/>
  <c r="CG267" i="41"/>
  <c r="CI262" i="41"/>
  <c r="CG263" i="41"/>
  <c r="CH266" i="41"/>
  <c r="CH267" i="41"/>
  <c r="CJ242" i="41"/>
  <c r="CG243" i="41"/>
  <c r="CH244" i="41"/>
  <c r="CG242" i="41"/>
  <c r="CH243" i="41"/>
  <c r="CG244" i="41"/>
  <c r="CH245" i="41"/>
  <c r="CI267" i="41"/>
  <c r="CH242" i="41"/>
  <c r="CI243" i="41"/>
  <c r="CI244" i="41"/>
  <c r="CI245" i="41"/>
  <c r="CI242" i="41"/>
  <c r="CJ243" i="41"/>
  <c r="CJ244" i="41"/>
  <c r="CJ245" i="41"/>
  <c r="CJ265" i="41"/>
  <c r="CG245" i="41"/>
  <c r="V245" i="41"/>
  <c r="V242" i="41"/>
  <c r="V264" i="41"/>
  <c r="V258" i="41"/>
  <c r="V261" i="41"/>
  <c r="Y285" i="41"/>
  <c r="Y287" i="41"/>
  <c r="Y289" i="41"/>
  <c r="Y284" i="41"/>
  <c r="Y286" i="41"/>
  <c r="Y288" i="41"/>
  <c r="V259" i="41"/>
  <c r="CI258" i="41"/>
  <c r="CG259" i="41"/>
  <c r="CI260" i="41"/>
  <c r="CJ258" i="41"/>
  <c r="CH259" i="41"/>
  <c r="CJ260" i="41"/>
  <c r="CG258" i="41"/>
  <c r="CI259" i="41"/>
  <c r="CH258" i="41"/>
  <c r="CJ259" i="41"/>
  <c r="CH260" i="41"/>
  <c r="CG260" i="41"/>
  <c r="CI261" i="41"/>
  <c r="CJ261" i="41"/>
  <c r="CG261" i="41"/>
  <c r="CH261" i="41"/>
  <c r="V240" i="41"/>
  <c r="V260" i="41"/>
  <c r="V239" i="41"/>
  <c r="CJ236" i="41"/>
  <c r="CH237" i="41"/>
  <c r="CJ238" i="41"/>
  <c r="CH236" i="41"/>
  <c r="CJ237" i="41"/>
  <c r="CH238" i="41"/>
  <c r="CG236" i="41"/>
  <c r="CG239" i="41"/>
  <c r="CI240" i="41"/>
  <c r="CG241" i="41"/>
  <c r="CI236" i="41"/>
  <c r="CG237" i="41"/>
  <c r="CH239" i="41"/>
  <c r="CJ240" i="41"/>
  <c r="CI237" i="41"/>
  <c r="CG238" i="41"/>
  <c r="CI239" i="41"/>
  <c r="CG240" i="41"/>
  <c r="CI241" i="41"/>
  <c r="CJ239" i="41"/>
  <c r="CJ241" i="41"/>
  <c r="CI238" i="41"/>
  <c r="CH240" i="41"/>
  <c r="CH241" i="41"/>
  <c r="V238" i="41"/>
  <c r="V237" i="41"/>
  <c r="V236" i="41"/>
  <c r="V241" i="41"/>
  <c r="CI213" i="41"/>
  <c r="CI172" i="41"/>
  <c r="CI214" i="41"/>
  <c r="CI173" i="41"/>
  <c r="CI96" i="41"/>
  <c r="CI91" i="41"/>
  <c r="CI78" i="41"/>
  <c r="CI73" i="41"/>
  <c r="CI41" i="41"/>
  <c r="CI36" i="41"/>
  <c r="CI23" i="41"/>
  <c r="CI18" i="41"/>
  <c r="CI208" i="41"/>
  <c r="CI93" i="41"/>
  <c r="CI87" i="41"/>
  <c r="CI38" i="41"/>
  <c r="CI32" i="41"/>
  <c r="CI24" i="41"/>
  <c r="CI136" i="41"/>
  <c r="CI97" i="41"/>
  <c r="CI69" i="41"/>
  <c r="CI42" i="41"/>
  <c r="CI14" i="41"/>
  <c r="CI137" i="41"/>
  <c r="CI106" i="41"/>
  <c r="CI92" i="41"/>
  <c r="CI51" i="41"/>
  <c r="CI37" i="41"/>
  <c r="CI105" i="41"/>
  <c r="CI75" i="41"/>
  <c r="CI50" i="41"/>
  <c r="CI20" i="41"/>
  <c r="CI19" i="41"/>
  <c r="CI74" i="41"/>
  <c r="CI209" i="41"/>
  <c r="CI215" i="41"/>
  <c r="CI210" i="41"/>
  <c r="CI174" i="41"/>
  <c r="CI138" i="41"/>
  <c r="J18" i="45"/>
  <c r="G19" i="45"/>
  <c r="CH24" i="41"/>
  <c r="CH97" i="41"/>
  <c r="CG97" i="41"/>
  <c r="CJ97" i="41"/>
  <c r="CG24" i="41"/>
  <c r="CJ24" i="41"/>
  <c r="V208" i="41"/>
  <c r="V172" i="41"/>
  <c r="V138" i="41"/>
  <c r="V137" i="41"/>
  <c r="V174" i="41"/>
  <c r="V173" i="41"/>
  <c r="V213" i="41"/>
  <c r="V209" i="41"/>
  <c r="V215" i="41"/>
  <c r="V214" i="41"/>
  <c r="CG215" i="41"/>
  <c r="CG213" i="41"/>
  <c r="CG210" i="41"/>
  <c r="CJ215" i="41"/>
  <c r="CJ213" i="41"/>
  <c r="CJ210" i="41"/>
  <c r="CH215" i="41"/>
  <c r="CG214" i="41"/>
  <c r="CH213" i="41"/>
  <c r="CH210" i="41"/>
  <c r="CG209" i="41"/>
  <c r="CH208" i="41"/>
  <c r="CJ208" i="41"/>
  <c r="CH174" i="41"/>
  <c r="CG173" i="41"/>
  <c r="CH172" i="41"/>
  <c r="CG208" i="41"/>
  <c r="CJ174" i="41"/>
  <c r="CJ172" i="41"/>
  <c r="CG174" i="41"/>
  <c r="CG172" i="41"/>
  <c r="CH138" i="41"/>
  <c r="CG137" i="41"/>
  <c r="CG138" i="41"/>
  <c r="CG136" i="41"/>
  <c r="CG105" i="41"/>
  <c r="CG96" i="41"/>
  <c r="CG93" i="41"/>
  <c r="CJ138" i="41"/>
  <c r="CH136" i="41"/>
  <c r="CJ106" i="41"/>
  <c r="CJ96" i="41"/>
  <c r="CJ136" i="41"/>
  <c r="CJ105" i="41"/>
  <c r="CH106" i="41"/>
  <c r="CH105" i="41"/>
  <c r="CH93" i="41"/>
  <c r="CG92" i="41"/>
  <c r="CG91" i="41"/>
  <c r="CJ87" i="41"/>
  <c r="CG106" i="41"/>
  <c r="CH96" i="41"/>
  <c r="CJ92" i="41"/>
  <c r="CJ91" i="41"/>
  <c r="CH92" i="41"/>
  <c r="CH91" i="41"/>
  <c r="CG87" i="41"/>
  <c r="CG78" i="41"/>
  <c r="CG75" i="41"/>
  <c r="CG74" i="41"/>
  <c r="CG73" i="41"/>
  <c r="CJ69" i="41"/>
  <c r="CH50" i="41"/>
  <c r="CH87" i="41"/>
  <c r="CJ78" i="41"/>
  <c r="CJ74" i="41"/>
  <c r="CH42" i="41"/>
  <c r="CH38" i="41"/>
  <c r="CH37" i="41"/>
  <c r="CJ93" i="41"/>
  <c r="CH78" i="41"/>
  <c r="CH74" i="41"/>
  <c r="CJ51" i="41"/>
  <c r="CJ50" i="41"/>
  <c r="CG42" i="41"/>
  <c r="CG41" i="41"/>
  <c r="CG38" i="41"/>
  <c r="CG37" i="41"/>
  <c r="CG36" i="41"/>
  <c r="CH75" i="41"/>
  <c r="CH73" i="41"/>
  <c r="CG69" i="41"/>
  <c r="CG51" i="41"/>
  <c r="CG50" i="41"/>
  <c r="CH41" i="41"/>
  <c r="CJ41" i="41"/>
  <c r="CH36" i="41"/>
  <c r="CG32" i="41"/>
  <c r="CG18" i="41"/>
  <c r="CJ37" i="41"/>
  <c r="CG20" i="41"/>
  <c r="CJ18" i="41"/>
  <c r="CJ42" i="41"/>
  <c r="CG23" i="41"/>
  <c r="CH20" i="41"/>
  <c r="CJ19" i="41"/>
  <c r="CJ73" i="41"/>
  <c r="CJ75" i="41"/>
  <c r="CJ38" i="41"/>
  <c r="CJ36" i="41"/>
  <c r="CH32" i="41"/>
  <c r="CJ23" i="41"/>
  <c r="CG19" i="41"/>
  <c r="CH18" i="41"/>
  <c r="CH51" i="41"/>
  <c r="CH23" i="41"/>
  <c r="CJ20" i="41"/>
  <c r="CH69" i="41"/>
  <c r="CJ32" i="41"/>
  <c r="CH19" i="41"/>
  <c r="CH214" i="41"/>
  <c r="CH173" i="41"/>
  <c r="CJ214" i="41"/>
  <c r="CH209" i="41"/>
  <c r="CJ209" i="41"/>
  <c r="CJ173" i="41"/>
  <c r="CH137" i="41"/>
  <c r="CJ137" i="41"/>
  <c r="V136" i="41"/>
  <c r="V210" i="41"/>
  <c r="V79" i="41"/>
  <c r="V119" i="41"/>
  <c r="V28" i="41"/>
  <c r="V14" i="41"/>
  <c r="V32" i="41"/>
  <c r="V42" i="41"/>
  <c r="V55" i="41"/>
  <c r="V101" i="41"/>
  <c r="V78" i="41"/>
  <c r="V18" i="41"/>
  <c r="V23" i="41"/>
  <c r="V36" i="41"/>
  <c r="V33" i="41"/>
  <c r="V83" i="41"/>
  <c r="V41" i="41"/>
  <c r="V54" i="41"/>
  <c r="V64" i="41"/>
  <c r="V88" i="41"/>
  <c r="V111" i="41"/>
  <c r="V45" i="41"/>
  <c r="V46" i="41"/>
  <c r="V59" i="41"/>
  <c r="V82" i="41"/>
  <c r="V77" i="41"/>
  <c r="Z8" i="41"/>
  <c r="Y127" i="41"/>
  <c r="Y126" i="41"/>
  <c r="Y133" i="41"/>
  <c r="Y128" i="41"/>
  <c r="Y142" i="41"/>
  <c r="Y141" i="41"/>
  <c r="Y152" i="41"/>
  <c r="Y151" i="41"/>
  <c r="Y163" i="41"/>
  <c r="Y162" i="41"/>
  <c r="Y132" i="41"/>
  <c r="Y148" i="41"/>
  <c r="Y158" i="41"/>
  <c r="Y169" i="41"/>
  <c r="Y153" i="41"/>
  <c r="Y156" i="41"/>
  <c r="Y167" i="41"/>
  <c r="Y199" i="41"/>
  <c r="Y203" i="41"/>
  <c r="Y224" i="41"/>
  <c r="Y223" i="41"/>
  <c r="Y147" i="41"/>
  <c r="Y168" i="41"/>
  <c r="Y179" i="41"/>
  <c r="Y189" i="41"/>
  <c r="Y200" i="41"/>
  <c r="Y204" i="41"/>
  <c r="Y225" i="41"/>
  <c r="Y228" i="41"/>
  <c r="Y131" i="41"/>
  <c r="Y143" i="41"/>
  <c r="Y146" i="41"/>
  <c r="Y218" i="41"/>
  <c r="Y229" i="41"/>
  <c r="Y157" i="41"/>
  <c r="Y194" i="41"/>
  <c r="Y198" i="41"/>
  <c r="Y220" i="41"/>
  <c r="Y164" i="41"/>
  <c r="Y205" i="41"/>
  <c r="Y219" i="41"/>
  <c r="Y230" i="41"/>
  <c r="V63" i="41"/>
  <c r="V69" i="41"/>
  <c r="V81" i="41"/>
  <c r="V106" i="41"/>
  <c r="V100" i="41"/>
  <c r="V114" i="41"/>
  <c r="V15" i="41"/>
  <c r="V20" i="41"/>
  <c r="V26" i="41"/>
  <c r="V51" i="41"/>
  <c r="V91" i="41"/>
  <c r="V38" i="41"/>
  <c r="V44" i="41"/>
  <c r="V56" i="41"/>
  <c r="V62" i="41"/>
  <c r="V107" i="41"/>
  <c r="V75" i="41"/>
  <c r="V87" i="41"/>
  <c r="V97" i="41"/>
  <c r="V99" i="41"/>
  <c r="V93" i="41"/>
  <c r="V110" i="41"/>
  <c r="V115" i="41"/>
  <c r="V117" i="41"/>
  <c r="V109" i="41"/>
  <c r="V19" i="41"/>
  <c r="V24" i="41"/>
  <c r="V74" i="41"/>
  <c r="V37" i="41"/>
  <c r="V50" i="41"/>
  <c r="V60" i="41"/>
  <c r="V92" i="41"/>
  <c r="V16" i="41"/>
  <c r="V22" i="41"/>
  <c r="V27" i="41"/>
  <c r="V34" i="41"/>
  <c r="V70" i="41"/>
  <c r="V40" i="41"/>
  <c r="V52" i="41"/>
  <c r="V58" i="41"/>
  <c r="V71" i="41"/>
  <c r="V73" i="41"/>
  <c r="V89" i="41"/>
  <c r="V96" i="41"/>
  <c r="V95" i="41"/>
  <c r="V105" i="41"/>
  <c r="V113" i="41"/>
  <c r="V118" i="41"/>
  <c r="W71" i="41"/>
  <c r="CJ14" i="41"/>
  <c r="CG14" i="41"/>
  <c r="CH14" i="41"/>
  <c r="CK7" i="41"/>
  <c r="W182" i="41" l="1"/>
  <c r="W253" i="41"/>
  <c r="W252" i="41"/>
  <c r="W251" i="41"/>
  <c r="W280" i="41"/>
  <c r="W272" i="41"/>
  <c r="W277" i="41"/>
  <c r="W246" i="41"/>
  <c r="W248" i="41"/>
  <c r="W254" i="41"/>
  <c r="W255" i="41"/>
  <c r="CK254" i="41"/>
  <c r="CL252" i="41"/>
  <c r="CK252" i="41"/>
  <c r="CK247" i="41"/>
  <c r="CK255" i="41"/>
  <c r="CK246" i="41"/>
  <c r="CL277" i="41"/>
  <c r="CK253" i="41"/>
  <c r="CK276" i="41"/>
  <c r="CK249" i="41"/>
  <c r="CK268" i="41"/>
  <c r="CK277" i="41"/>
  <c r="CK273" i="41"/>
  <c r="CK272" i="41"/>
  <c r="CK271" i="41"/>
  <c r="CL254" i="41"/>
  <c r="CK251" i="41"/>
  <c r="CK250" i="41"/>
  <c r="CK248" i="41"/>
  <c r="CK275" i="41"/>
  <c r="CK269" i="41"/>
  <c r="CK274" i="41"/>
  <c r="CL268" i="41"/>
  <c r="CK270" i="41"/>
  <c r="CN255" i="41"/>
  <c r="CM253" i="41"/>
  <c r="CL251" i="41"/>
  <c r="CM250" i="41"/>
  <c r="CN250" i="41"/>
  <c r="CN249" i="41"/>
  <c r="CM277" i="41"/>
  <c r="CN277" i="41"/>
  <c r="CL276" i="41"/>
  <c r="CL274" i="41"/>
  <c r="CL273" i="41"/>
  <c r="CM271" i="41"/>
  <c r="CM270" i="41"/>
  <c r="CM269" i="41"/>
  <c r="CL250" i="41"/>
  <c r="CL255" i="41"/>
  <c r="CN253" i="41"/>
  <c r="CL247" i="41"/>
  <c r="CL246" i="41"/>
  <c r="CM274" i="41"/>
  <c r="CM273" i="41"/>
  <c r="CN273" i="41"/>
  <c r="CL271" i="41"/>
  <c r="CN270" i="41"/>
  <c r="CN269" i="41"/>
  <c r="CL280" i="41"/>
  <c r="CL272" i="41"/>
  <c r="CM255" i="41"/>
  <c r="CL253" i="41"/>
  <c r="CM251" i="41"/>
  <c r="CL248" i="41"/>
  <c r="CM248" i="41"/>
  <c r="CM247" i="41"/>
  <c r="CN276" i="41"/>
  <c r="CM272" i="41"/>
  <c r="CK280" i="41"/>
  <c r="CN281" i="41"/>
  <c r="CN282" i="41"/>
  <c r="CN283" i="41"/>
  <c r="CM254" i="41"/>
  <c r="CM252" i="41"/>
  <c r="CN252" i="41"/>
  <c r="CN247" i="41"/>
  <c r="CM276" i="41"/>
  <c r="CN275" i="41"/>
  <c r="CM280" i="41"/>
  <c r="CK281" i="41"/>
  <c r="CK282" i="41"/>
  <c r="CK283" i="41"/>
  <c r="CN254" i="41"/>
  <c r="CN251" i="41"/>
  <c r="CM249" i="41"/>
  <c r="CM246" i="41"/>
  <c r="CN272" i="41"/>
  <c r="CL269" i="41"/>
  <c r="CN280" i="41"/>
  <c r="CL281" i="41"/>
  <c r="CL282" i="41"/>
  <c r="CL283" i="41"/>
  <c r="CN246" i="41"/>
  <c r="CN274" i="41"/>
  <c r="CN268" i="41"/>
  <c r="CM283" i="41"/>
  <c r="CN248" i="41"/>
  <c r="CN271" i="41"/>
  <c r="CM282" i="41"/>
  <c r="CL275" i="41"/>
  <c r="CL270" i="41"/>
  <c r="CM268" i="41"/>
  <c r="CM281" i="41"/>
  <c r="CL249" i="41"/>
  <c r="CM275" i="41"/>
  <c r="CM192" i="41"/>
  <c r="CM183" i="41"/>
  <c r="CM109" i="41"/>
  <c r="CM188" i="41"/>
  <c r="CM55" i="41"/>
  <c r="CM193" i="41"/>
  <c r="CM177" i="41"/>
  <c r="CM110" i="41"/>
  <c r="CM88" i="41"/>
  <c r="CM182" i="41"/>
  <c r="CM178" i="41"/>
  <c r="CM89" i="41"/>
  <c r="CM187" i="41"/>
  <c r="CM54" i="41"/>
  <c r="CN187" i="41"/>
  <c r="CL184" i="41"/>
  <c r="CN182" i="41"/>
  <c r="CL177" i="41"/>
  <c r="CL110" i="41"/>
  <c r="CN109" i="41"/>
  <c r="CK89" i="41"/>
  <c r="CL88" i="41"/>
  <c r="CN55" i="41"/>
  <c r="CK192" i="41"/>
  <c r="CN177" i="41"/>
  <c r="CN88" i="41"/>
  <c r="CK54" i="41"/>
  <c r="CK193" i="41"/>
  <c r="CN192" i="41"/>
  <c r="CL187" i="41"/>
  <c r="CK184" i="41"/>
  <c r="CL182" i="41"/>
  <c r="CK177" i="41"/>
  <c r="CK110" i="41"/>
  <c r="CL109" i="41"/>
  <c r="CK88" i="41"/>
  <c r="CL55" i="41"/>
  <c r="CN54" i="41"/>
  <c r="CL192" i="41"/>
  <c r="CL188" i="41"/>
  <c r="CK187" i="41"/>
  <c r="CK183" i="41"/>
  <c r="CK182" i="41"/>
  <c r="CK178" i="41"/>
  <c r="CK109" i="41"/>
  <c r="CN89" i="41"/>
  <c r="CK55" i="41"/>
  <c r="CL54" i="41"/>
  <c r="CK188" i="41"/>
  <c r="CN184" i="41"/>
  <c r="CN110" i="41"/>
  <c r="CL89" i="41"/>
  <c r="CL178" i="41"/>
  <c r="CN178" i="41"/>
  <c r="CN183" i="41"/>
  <c r="CL183" i="41"/>
  <c r="CL193" i="41"/>
  <c r="CM184" i="41"/>
  <c r="CN193" i="41"/>
  <c r="CN188" i="41"/>
  <c r="W192" i="41"/>
  <c r="W188" i="41"/>
  <c r="W178" i="41"/>
  <c r="W177" i="41"/>
  <c r="W283" i="41"/>
  <c r="W270" i="41"/>
  <c r="W268" i="41"/>
  <c r="W273" i="41"/>
  <c r="W274" i="41"/>
  <c r="W249" i="41"/>
  <c r="W184" i="41"/>
  <c r="W281" i="41"/>
  <c r="W269" i="41"/>
  <c r="W193" i="41"/>
  <c r="W183" i="41"/>
  <c r="W282" i="41"/>
  <c r="W271" i="41"/>
  <c r="W276" i="41"/>
  <c r="W275" i="41"/>
  <c r="W247" i="41"/>
  <c r="W250" i="41"/>
  <c r="CE294" i="41"/>
  <c r="CE292" i="41"/>
  <c r="CG231" i="41"/>
  <c r="CG120" i="41"/>
  <c r="CC292" i="41"/>
  <c r="CJ120" i="41"/>
  <c r="CJ231" i="41"/>
  <c r="CI120" i="41"/>
  <c r="CI231" i="41"/>
  <c r="CH120" i="41"/>
  <c r="CH231" i="41"/>
  <c r="CD292" i="41"/>
  <c r="CD294" i="41"/>
  <c r="G20" i="45" s="1"/>
  <c r="CF294" i="41"/>
  <c r="I20" i="45" s="1"/>
  <c r="CI290" i="41"/>
  <c r="CH290" i="41"/>
  <c r="CJ290" i="41"/>
  <c r="CC294" i="41"/>
  <c r="F20" i="45" s="1"/>
  <c r="CG290" i="41"/>
  <c r="W242" i="41"/>
  <c r="W262" i="41"/>
  <c r="W266" i="41"/>
  <c r="CL262" i="41"/>
  <c r="CL263" i="41"/>
  <c r="CL264" i="41"/>
  <c r="CL265" i="41"/>
  <c r="CN263" i="41"/>
  <c r="CM264" i="41"/>
  <c r="CK265" i="41"/>
  <c r="CM266" i="41"/>
  <c r="CK262" i="41"/>
  <c r="CN264" i="41"/>
  <c r="CM265" i="41"/>
  <c r="CN266" i="41"/>
  <c r="CN267" i="41"/>
  <c r="CM262" i="41"/>
  <c r="CK263" i="41"/>
  <c r="CN265" i="41"/>
  <c r="CK266" i="41"/>
  <c r="CK267" i="41"/>
  <c r="CL267" i="41"/>
  <c r="CN262" i="41"/>
  <c r="CK264" i="41"/>
  <c r="CM267" i="41"/>
  <c r="CN242" i="41"/>
  <c r="CK243" i="41"/>
  <c r="CL244" i="41"/>
  <c r="CM263" i="41"/>
  <c r="CL242" i="41"/>
  <c r="CM243" i="41"/>
  <c r="CM244" i="41"/>
  <c r="CL245" i="41"/>
  <c r="CK244" i="41"/>
  <c r="CK245" i="41"/>
  <c r="CM242" i="41"/>
  <c r="CN243" i="41"/>
  <c r="CN244" i="41"/>
  <c r="CM245" i="41"/>
  <c r="CL266" i="41"/>
  <c r="CK242" i="41"/>
  <c r="CL243" i="41"/>
  <c r="CN245" i="41"/>
  <c r="W245" i="41"/>
  <c r="W244" i="41"/>
  <c r="W243" i="41"/>
  <c r="W263" i="41"/>
  <c r="W267" i="41"/>
  <c r="W265" i="41"/>
  <c r="W264" i="41"/>
  <c r="W260" i="41"/>
  <c r="Z285" i="41"/>
  <c r="Z287" i="41"/>
  <c r="Z289" i="41"/>
  <c r="Z284" i="41"/>
  <c r="Z286" i="41"/>
  <c r="Z288" i="41"/>
  <c r="W261" i="41"/>
  <c r="W258" i="41"/>
  <c r="CM258" i="41"/>
  <c r="CK259" i="41"/>
  <c r="CM260" i="41"/>
  <c r="CN258" i="41"/>
  <c r="CL259" i="41"/>
  <c r="CN260" i="41"/>
  <c r="CK258" i="41"/>
  <c r="CM259" i="41"/>
  <c r="CL258" i="41"/>
  <c r="CN259" i="41"/>
  <c r="CL260" i="41"/>
  <c r="CM261" i="41"/>
  <c r="CK260" i="41"/>
  <c r="CN261" i="41"/>
  <c r="CK261" i="41"/>
  <c r="CL261" i="41"/>
  <c r="W259" i="41"/>
  <c r="CN236" i="41"/>
  <c r="CL237" i="41"/>
  <c r="CN238" i="41"/>
  <c r="CL236" i="41"/>
  <c r="CN237" i="41"/>
  <c r="CL238" i="41"/>
  <c r="CM237" i="41"/>
  <c r="CK238" i="41"/>
  <c r="CK239" i="41"/>
  <c r="CM240" i="41"/>
  <c r="CK241" i="41"/>
  <c r="CM238" i="41"/>
  <c r="CL239" i="41"/>
  <c r="CN240" i="41"/>
  <c r="CK236" i="41"/>
  <c r="CM239" i="41"/>
  <c r="CK240" i="41"/>
  <c r="CM241" i="41"/>
  <c r="CL240" i="41"/>
  <c r="CK237" i="41"/>
  <c r="CN239" i="41"/>
  <c r="CL241" i="41"/>
  <c r="CN241" i="41"/>
  <c r="CM236" i="41"/>
  <c r="W238" i="41"/>
  <c r="W237" i="41"/>
  <c r="W239" i="41"/>
  <c r="W236" i="41"/>
  <c r="W240" i="41"/>
  <c r="W241" i="41"/>
  <c r="CM209" i="41"/>
  <c r="CM137" i="41"/>
  <c r="CM106" i="41"/>
  <c r="CM93" i="41"/>
  <c r="CM75" i="41"/>
  <c r="CM51" i="41"/>
  <c r="CM38" i="41"/>
  <c r="CM20" i="41"/>
  <c r="CM213" i="41"/>
  <c r="CM172" i="41"/>
  <c r="CM214" i="41"/>
  <c r="CM74" i="41"/>
  <c r="CM69" i="41"/>
  <c r="CM41" i="41"/>
  <c r="CM105" i="41"/>
  <c r="CM91" i="41"/>
  <c r="CM37" i="41"/>
  <c r="CM24" i="41"/>
  <c r="CM18" i="41"/>
  <c r="CM208" i="41"/>
  <c r="CM92" i="41"/>
  <c r="CM87" i="41"/>
  <c r="CM73" i="41"/>
  <c r="CM19" i="41"/>
  <c r="CM14" i="41"/>
  <c r="CM173" i="41"/>
  <c r="CM97" i="41"/>
  <c r="CM78" i="41"/>
  <c r="CM32" i="41"/>
  <c r="CM50" i="41"/>
  <c r="CM42" i="41"/>
  <c r="CM23" i="41"/>
  <c r="CM136" i="41"/>
  <c r="CM96" i="41"/>
  <c r="CM36" i="41"/>
  <c r="CM210" i="41"/>
  <c r="CM215" i="41"/>
  <c r="CM174" i="41"/>
  <c r="CM138" i="41"/>
  <c r="H20" i="45"/>
  <c r="W208" i="41"/>
  <c r="J19" i="45"/>
  <c r="W210" i="41"/>
  <c r="CK97" i="41"/>
  <c r="CN24" i="41"/>
  <c r="CN97" i="41"/>
  <c r="CL24" i="41"/>
  <c r="CK24" i="41"/>
  <c r="CL97" i="41"/>
  <c r="CK215" i="41"/>
  <c r="CK213" i="41"/>
  <c r="CK210" i="41"/>
  <c r="CN215" i="41"/>
  <c r="CK214" i="41"/>
  <c r="CN213" i="41"/>
  <c r="CN210" i="41"/>
  <c r="CK209" i="41"/>
  <c r="CL215" i="41"/>
  <c r="CL213" i="41"/>
  <c r="CL210" i="41"/>
  <c r="CL208" i="41"/>
  <c r="CK208" i="41"/>
  <c r="CL174" i="41"/>
  <c r="CL172" i="41"/>
  <c r="CN174" i="41"/>
  <c r="CK173" i="41"/>
  <c r="CN172" i="41"/>
  <c r="CL138" i="41"/>
  <c r="CK138" i="41"/>
  <c r="CK136" i="41"/>
  <c r="CK105" i="41"/>
  <c r="CK96" i="41"/>
  <c r="CK93" i="41"/>
  <c r="CN208" i="41"/>
  <c r="CK172" i="41"/>
  <c r="CN105" i="41"/>
  <c r="CL93" i="41"/>
  <c r="CN136" i="41"/>
  <c r="CK174" i="41"/>
  <c r="CN138" i="41"/>
  <c r="CK106" i="41"/>
  <c r="CK137" i="41"/>
  <c r="CN93" i="41"/>
  <c r="CK92" i="41"/>
  <c r="CK91" i="41"/>
  <c r="CN87" i="41"/>
  <c r="CN96" i="41"/>
  <c r="CN92" i="41"/>
  <c r="CN91" i="41"/>
  <c r="CL136" i="41"/>
  <c r="CL106" i="41"/>
  <c r="CL105" i="41"/>
  <c r="CL96" i="41"/>
  <c r="CL92" i="41"/>
  <c r="CL91" i="41"/>
  <c r="CK87" i="41"/>
  <c r="CK78" i="41"/>
  <c r="CK75" i="41"/>
  <c r="CK74" i="41"/>
  <c r="CK73" i="41"/>
  <c r="CN69" i="41"/>
  <c r="CL50" i="41"/>
  <c r="CN75" i="41"/>
  <c r="CN73" i="41"/>
  <c r="CK69" i="41"/>
  <c r="CK51" i="41"/>
  <c r="CK50" i="41"/>
  <c r="CL41" i="41"/>
  <c r="CL75" i="41"/>
  <c r="CL73" i="41"/>
  <c r="CK42" i="41"/>
  <c r="CK41" i="41"/>
  <c r="CK38" i="41"/>
  <c r="CK37" i="41"/>
  <c r="CK36" i="41"/>
  <c r="CN106" i="41"/>
  <c r="CL87" i="41"/>
  <c r="CL78" i="41"/>
  <c r="CL74" i="41"/>
  <c r="CL69" i="41"/>
  <c r="CL51" i="41"/>
  <c r="CL42" i="41"/>
  <c r="CL38" i="41"/>
  <c r="CL37" i="41"/>
  <c r="CN74" i="41"/>
  <c r="CL36" i="41"/>
  <c r="CN78" i="41"/>
  <c r="CN50" i="41"/>
  <c r="CN37" i="41"/>
  <c r="CN36" i="41"/>
  <c r="CK32" i="41"/>
  <c r="CL23" i="41"/>
  <c r="CN20" i="41"/>
  <c r="CK18" i="41"/>
  <c r="CN19" i="41"/>
  <c r="CN51" i="41"/>
  <c r="CN41" i="41"/>
  <c r="CN32" i="41"/>
  <c r="CK20" i="41"/>
  <c r="CL19" i="41"/>
  <c r="CN18" i="41"/>
  <c r="CN42" i="41"/>
  <c r="CL32" i="41"/>
  <c r="CN23" i="41"/>
  <c r="CK19" i="41"/>
  <c r="CL18" i="41"/>
  <c r="CN38" i="41"/>
  <c r="CK23" i="41"/>
  <c r="CL20" i="41"/>
  <c r="CL209" i="41"/>
  <c r="CN209" i="41"/>
  <c r="CL214" i="41"/>
  <c r="CN214" i="41"/>
  <c r="CL173" i="41"/>
  <c r="CN173" i="41"/>
  <c r="CL137" i="41"/>
  <c r="CN137" i="41"/>
  <c r="W137" i="41"/>
  <c r="W213" i="41"/>
  <c r="W215" i="41"/>
  <c r="W136" i="41"/>
  <c r="W172" i="41"/>
  <c r="W173" i="41"/>
  <c r="W214" i="41"/>
  <c r="W138" i="41"/>
  <c r="W174" i="41"/>
  <c r="W209" i="41"/>
  <c r="W75" i="41"/>
  <c r="W24" i="41"/>
  <c r="W32" i="41"/>
  <c r="W34" i="41"/>
  <c r="W81" i="41"/>
  <c r="W78" i="41"/>
  <c r="W114" i="41"/>
  <c r="W18" i="41"/>
  <c r="W28" i="41"/>
  <c r="W33" i="41"/>
  <c r="W56" i="41"/>
  <c r="W62" i="41"/>
  <c r="W79" i="41"/>
  <c r="W109" i="41"/>
  <c r="W83" i="41"/>
  <c r="W118" i="41"/>
  <c r="W96" i="41"/>
  <c r="W110" i="41"/>
  <c r="W23" i="41"/>
  <c r="W42" i="41"/>
  <c r="W77" i="41"/>
  <c r="W19" i="41"/>
  <c r="W51" i="41"/>
  <c r="W45" i="41"/>
  <c r="W38" i="41"/>
  <c r="W52" i="41"/>
  <c r="W64" i="41"/>
  <c r="W63" i="41"/>
  <c r="W100" i="41"/>
  <c r="W92" i="41"/>
  <c r="W111" i="41"/>
  <c r="W15" i="41"/>
  <c r="W20" i="41"/>
  <c r="W26" i="41"/>
  <c r="W87" i="41"/>
  <c r="W40" i="41"/>
  <c r="W46" i="41"/>
  <c r="W54" i="41"/>
  <c r="W59" i="41"/>
  <c r="W69" i="41"/>
  <c r="W89" i="41"/>
  <c r="W74" i="41"/>
  <c r="W93" i="41"/>
  <c r="W119" i="41"/>
  <c r="AA8" i="41"/>
  <c r="Z128" i="41"/>
  <c r="Z127" i="41"/>
  <c r="Z126" i="41"/>
  <c r="Z131" i="41"/>
  <c r="Z143" i="41"/>
  <c r="Z146" i="41"/>
  <c r="Z153" i="41"/>
  <c r="Z156" i="41"/>
  <c r="Z164" i="41"/>
  <c r="Z142" i="41"/>
  <c r="Z141" i="41"/>
  <c r="Z152" i="41"/>
  <c r="Z151" i="41"/>
  <c r="Z163" i="41"/>
  <c r="Z162" i="41"/>
  <c r="Z133" i="41"/>
  <c r="Z147" i="41"/>
  <c r="Z168" i="41"/>
  <c r="Z179" i="41"/>
  <c r="Z189" i="41"/>
  <c r="Z200" i="41"/>
  <c r="Z204" i="41"/>
  <c r="Z225" i="41"/>
  <c r="Z228" i="41"/>
  <c r="Z132" i="41"/>
  <c r="Z158" i="41"/>
  <c r="Z205" i="41"/>
  <c r="Z219" i="41"/>
  <c r="Z218" i="41"/>
  <c r="Z229" i="41"/>
  <c r="Z157" i="41"/>
  <c r="Z194" i="41"/>
  <c r="Z198" i="41"/>
  <c r="Z220" i="41"/>
  <c r="Z169" i="41"/>
  <c r="Z203" i="41"/>
  <c r="Z223" i="41"/>
  <c r="Z230" i="41"/>
  <c r="Z148" i="41"/>
  <c r="Z199" i="41"/>
  <c r="Z224" i="41"/>
  <c r="Z167" i="41"/>
  <c r="W37" i="41"/>
  <c r="W88" i="41"/>
  <c r="W14" i="41"/>
  <c r="W44" i="41"/>
  <c r="W58" i="41"/>
  <c r="W73" i="41"/>
  <c r="W91" i="41"/>
  <c r="W113" i="41"/>
  <c r="W115" i="41"/>
  <c r="W16" i="41"/>
  <c r="W22" i="41"/>
  <c r="W27" i="41"/>
  <c r="W36" i="41"/>
  <c r="W70" i="41"/>
  <c r="W41" i="41"/>
  <c r="W50" i="41"/>
  <c r="W55" i="41"/>
  <c r="W60" i="41"/>
  <c r="W82" i="41"/>
  <c r="W99" i="41"/>
  <c r="W101" i="41"/>
  <c r="W105" i="41"/>
  <c r="W97" i="41"/>
  <c r="W95" i="41"/>
  <c r="W106" i="41"/>
  <c r="W107" i="41"/>
  <c r="W117" i="41"/>
  <c r="CN14" i="41"/>
  <c r="CK14" i="41"/>
  <c r="CL14" i="41"/>
  <c r="CO7" i="41"/>
  <c r="X182" i="41" l="1"/>
  <c r="X184" i="41"/>
  <c r="X281" i="41"/>
  <c r="X252" i="41"/>
  <c r="X271" i="41"/>
  <c r="X274" i="41"/>
  <c r="X272" i="41"/>
  <c r="X249" i="41"/>
  <c r="X246" i="41"/>
  <c r="X188" i="41"/>
  <c r="X187" i="41"/>
  <c r="X177" i="41"/>
  <c r="X283" i="41"/>
  <c r="X269" i="41"/>
  <c r="X251" i="41"/>
  <c r="X273" i="41"/>
  <c r="X276" i="41"/>
  <c r="X255" i="41"/>
  <c r="X254" i="41"/>
  <c r="X248" i="41"/>
  <c r="X268" i="41"/>
  <c r="X183" i="41"/>
  <c r="X250" i="41"/>
  <c r="CP254" i="41"/>
  <c r="CO253" i="41"/>
  <c r="CO249" i="41"/>
  <c r="CO255" i="41"/>
  <c r="CO246" i="41"/>
  <c r="CO276" i="41"/>
  <c r="CO274" i="41"/>
  <c r="CO273" i="41"/>
  <c r="CO254" i="41"/>
  <c r="CO251" i="41"/>
  <c r="CO250" i="41"/>
  <c r="CP252" i="41"/>
  <c r="CO248" i="41"/>
  <c r="CO277" i="41"/>
  <c r="CO275" i="41"/>
  <c r="CP277" i="41"/>
  <c r="CO272" i="41"/>
  <c r="CO271" i="41"/>
  <c r="CO270" i="41"/>
  <c r="CO252" i="41"/>
  <c r="CO247" i="41"/>
  <c r="CO268" i="41"/>
  <c r="CO269" i="41"/>
  <c r="CQ254" i="41"/>
  <c r="CQ252" i="41"/>
  <c r="CR252" i="41"/>
  <c r="CR248" i="41"/>
  <c r="CR247" i="41"/>
  <c r="CR246" i="41"/>
  <c r="CR276" i="41"/>
  <c r="CP275" i="41"/>
  <c r="CQ272" i="41"/>
  <c r="CR272" i="41"/>
  <c r="CP269" i="41"/>
  <c r="CP272" i="41"/>
  <c r="CP250" i="41"/>
  <c r="CR255" i="41"/>
  <c r="CP253" i="41"/>
  <c r="CQ253" i="41"/>
  <c r="CQ250" i="41"/>
  <c r="CR250" i="41"/>
  <c r="CP249" i="41"/>
  <c r="CR249" i="41"/>
  <c r="CP248" i="41"/>
  <c r="CQ277" i="41"/>
  <c r="CR277" i="41"/>
  <c r="CP276" i="41"/>
  <c r="CP274" i="41"/>
  <c r="CP273" i="41"/>
  <c r="CQ271" i="41"/>
  <c r="CQ270" i="41"/>
  <c r="CQ269" i="41"/>
  <c r="CP268" i="41"/>
  <c r="CR268" i="41"/>
  <c r="CP280" i="41"/>
  <c r="CP255" i="41"/>
  <c r="CR253" i="41"/>
  <c r="CP251" i="41"/>
  <c r="CP247" i="41"/>
  <c r="CQ275" i="41"/>
  <c r="CR274" i="41"/>
  <c r="CP271" i="41"/>
  <c r="CR271" i="41"/>
  <c r="CP270" i="41"/>
  <c r="CQ268" i="41"/>
  <c r="CQ280" i="41"/>
  <c r="CR281" i="41"/>
  <c r="CR282" i="41"/>
  <c r="CR283" i="41"/>
  <c r="CP283" i="41"/>
  <c r="CQ255" i="41"/>
  <c r="CQ251" i="41"/>
  <c r="CQ248" i="41"/>
  <c r="CQ247" i="41"/>
  <c r="CR273" i="41"/>
  <c r="CR270" i="41"/>
  <c r="CR280" i="41"/>
  <c r="CO281" i="41"/>
  <c r="Y281" i="41" s="1"/>
  <c r="CO282" i="41"/>
  <c r="CO283" i="41"/>
  <c r="CP246" i="41"/>
  <c r="CQ276" i="41"/>
  <c r="CR275" i="41"/>
  <c r="CP281" i="41"/>
  <c r="CP282" i="41"/>
  <c r="CR254" i="41"/>
  <c r="CR251" i="41"/>
  <c r="CQ249" i="41"/>
  <c r="CR269" i="41"/>
  <c r="CO280" i="41"/>
  <c r="Y280" i="41" s="1"/>
  <c r="CQ283" i="41"/>
  <c r="CQ273" i="41"/>
  <c r="CQ282" i="41"/>
  <c r="CQ246" i="41"/>
  <c r="CQ274" i="41"/>
  <c r="CQ281" i="41"/>
  <c r="CQ192" i="41"/>
  <c r="CQ183" i="41"/>
  <c r="CQ109" i="41"/>
  <c r="CQ178" i="41"/>
  <c r="CQ89" i="41"/>
  <c r="CQ55" i="41"/>
  <c r="CQ193" i="41"/>
  <c r="CQ177" i="41"/>
  <c r="CQ54" i="41"/>
  <c r="CQ182" i="41"/>
  <c r="CQ188" i="41"/>
  <c r="CQ187" i="41"/>
  <c r="CQ110" i="41"/>
  <c r="CQ88" i="41"/>
  <c r="CO193" i="41"/>
  <c r="CO192" i="41"/>
  <c r="CP188" i="41"/>
  <c r="CR184" i="41"/>
  <c r="CR177" i="41"/>
  <c r="CR110" i="41"/>
  <c r="CP89" i="41"/>
  <c r="CR88" i="41"/>
  <c r="CO54" i="41"/>
  <c r="CO177" i="41"/>
  <c r="CO110" i="41"/>
  <c r="CP109" i="41"/>
  <c r="CP55" i="41"/>
  <c r="CR54" i="41"/>
  <c r="CP192" i="41"/>
  <c r="CO182" i="41"/>
  <c r="CO109" i="41"/>
  <c r="CR89" i="41"/>
  <c r="CO55" i="41"/>
  <c r="CO188" i="41"/>
  <c r="Y188" i="41" s="1"/>
  <c r="CR187" i="41"/>
  <c r="CP184" i="41"/>
  <c r="CO183" i="41"/>
  <c r="CR182" i="41"/>
  <c r="CO178" i="41"/>
  <c r="CP177" i="41"/>
  <c r="CP110" i="41"/>
  <c r="CR109" i="41"/>
  <c r="CO89" i="41"/>
  <c r="CP88" i="41"/>
  <c r="CR55" i="41"/>
  <c r="CR192" i="41"/>
  <c r="CP187" i="41"/>
  <c r="CO184" i="41"/>
  <c r="CP182" i="41"/>
  <c r="CO88" i="41"/>
  <c r="CO187" i="41"/>
  <c r="Y187" i="41" s="1"/>
  <c r="CP54" i="41"/>
  <c r="CP178" i="41"/>
  <c r="CR178" i="41"/>
  <c r="CR183" i="41"/>
  <c r="CP183" i="41"/>
  <c r="CR193" i="41"/>
  <c r="CQ184" i="41"/>
  <c r="CP193" i="41"/>
  <c r="CR188" i="41"/>
  <c r="X178" i="41"/>
  <c r="X193" i="41"/>
  <c r="X192" i="41"/>
  <c r="X282" i="41"/>
  <c r="X280" i="41"/>
  <c r="X277" i="41"/>
  <c r="X270" i="41"/>
  <c r="X275" i="41"/>
  <c r="X253" i="41"/>
  <c r="X247" i="41"/>
  <c r="CM120" i="41"/>
  <c r="CG292" i="41"/>
  <c r="CK120" i="41"/>
  <c r="CI292" i="41"/>
  <c r="CM231" i="41"/>
  <c r="CN120" i="41"/>
  <c r="CJ292" i="41"/>
  <c r="CL231" i="41"/>
  <c r="CN231" i="41"/>
  <c r="CK231" i="41"/>
  <c r="CH292" i="41"/>
  <c r="CL120" i="41"/>
  <c r="CI294" i="41"/>
  <c r="H21" i="45" s="1"/>
  <c r="CH294" i="41"/>
  <c r="G21" i="45" s="1"/>
  <c r="CG294" i="41"/>
  <c r="F21" i="45" s="1"/>
  <c r="CJ294" i="41"/>
  <c r="I21" i="45" s="1"/>
  <c r="CL290" i="41"/>
  <c r="CN290" i="41"/>
  <c r="CM290" i="41"/>
  <c r="CK290" i="41"/>
  <c r="X263" i="41"/>
  <c r="X244" i="41"/>
  <c r="X265" i="41"/>
  <c r="CP262" i="41"/>
  <c r="CP263" i="41"/>
  <c r="CP264" i="41"/>
  <c r="CP265" i="41"/>
  <c r="CO262" i="41"/>
  <c r="CR264" i="41"/>
  <c r="CQ265" i="41"/>
  <c r="CQ266" i="41"/>
  <c r="CQ262" i="41"/>
  <c r="CO263" i="41"/>
  <c r="CR265" i="41"/>
  <c r="CR266" i="41"/>
  <c r="CR267" i="41"/>
  <c r="CR262" i="41"/>
  <c r="CQ263" i="41"/>
  <c r="CO264" i="41"/>
  <c r="CO266" i="41"/>
  <c r="CO267" i="41"/>
  <c r="CR263" i="41"/>
  <c r="CO265" i="41"/>
  <c r="CP266" i="41"/>
  <c r="CQ264" i="41"/>
  <c r="CP267" i="41"/>
  <c r="CR242" i="41"/>
  <c r="CO243" i="41"/>
  <c r="CP244" i="41"/>
  <c r="CQ242" i="41"/>
  <c r="CR243" i="41"/>
  <c r="CR244" i="41"/>
  <c r="CP245" i="41"/>
  <c r="CQ243" i="41"/>
  <c r="CO245" i="41"/>
  <c r="CQ245" i="41"/>
  <c r="CQ244" i="41"/>
  <c r="CQ267" i="41"/>
  <c r="CO242" i="41"/>
  <c r="CP243" i="41"/>
  <c r="CO244" i="41"/>
  <c r="CR245" i="41"/>
  <c r="CP242" i="41"/>
  <c r="X242" i="41"/>
  <c r="X267" i="41"/>
  <c r="X264" i="41"/>
  <c r="X266" i="41"/>
  <c r="X262" i="41"/>
  <c r="X245" i="41"/>
  <c r="X243" i="41"/>
  <c r="X260" i="41"/>
  <c r="AA284" i="41"/>
  <c r="AA286" i="41"/>
  <c r="AA288" i="41"/>
  <c r="AA285" i="41"/>
  <c r="AA287" i="41"/>
  <c r="AA289" i="41"/>
  <c r="X261" i="41"/>
  <c r="X258" i="41"/>
  <c r="X240" i="41"/>
  <c r="X259" i="41"/>
  <c r="CQ258" i="41"/>
  <c r="CO259" i="41"/>
  <c r="CQ260" i="41"/>
  <c r="CR258" i="41"/>
  <c r="CP259" i="41"/>
  <c r="CR260" i="41"/>
  <c r="CO258" i="41"/>
  <c r="CQ259" i="41"/>
  <c r="CP258" i="41"/>
  <c r="CR259" i="41"/>
  <c r="CP260" i="41"/>
  <c r="CQ261" i="41"/>
  <c r="CR261" i="41"/>
  <c r="CO260" i="41"/>
  <c r="CO261" i="41"/>
  <c r="CP261" i="41"/>
  <c r="X237" i="41"/>
  <c r="X238" i="41"/>
  <c r="X236" i="41"/>
  <c r="X241" i="41"/>
  <c r="CR236" i="41"/>
  <c r="CP237" i="41"/>
  <c r="CR238" i="41"/>
  <c r="CP236" i="41"/>
  <c r="CR237" i="41"/>
  <c r="CP238" i="41"/>
  <c r="CO236" i="41"/>
  <c r="CO239" i="41"/>
  <c r="CQ240" i="41"/>
  <c r="CO241" i="41"/>
  <c r="CQ236" i="41"/>
  <c r="CO237" i="41"/>
  <c r="CP239" i="41"/>
  <c r="CR240" i="41"/>
  <c r="CQ237" i="41"/>
  <c r="CO238" i="41"/>
  <c r="CQ239" i="41"/>
  <c r="CO240" i="41"/>
  <c r="CQ241" i="41"/>
  <c r="CQ238" i="41"/>
  <c r="CR241" i="41"/>
  <c r="CP240" i="41"/>
  <c r="CR239" i="41"/>
  <c r="CP241" i="41"/>
  <c r="X239" i="41"/>
  <c r="CQ208" i="41"/>
  <c r="CQ136" i="41"/>
  <c r="CQ105" i="41"/>
  <c r="CQ97" i="41"/>
  <c r="CQ92" i="41"/>
  <c r="CQ87" i="41"/>
  <c r="CQ74" i="41"/>
  <c r="CQ69" i="41"/>
  <c r="CQ50" i="41"/>
  <c r="CQ42" i="41"/>
  <c r="CQ37" i="41"/>
  <c r="CQ32" i="41"/>
  <c r="CQ24" i="41"/>
  <c r="CQ19" i="41"/>
  <c r="CQ14" i="41"/>
  <c r="CQ209" i="41"/>
  <c r="CQ137" i="41"/>
  <c r="CQ106" i="41"/>
  <c r="CQ93" i="41"/>
  <c r="CQ75" i="41"/>
  <c r="CQ51" i="41"/>
  <c r="CQ38" i="41"/>
  <c r="CQ20" i="41"/>
  <c r="CQ173" i="41"/>
  <c r="CQ78" i="41"/>
  <c r="CQ36" i="41"/>
  <c r="CQ18" i="41"/>
  <c r="CQ214" i="41"/>
  <c r="CQ73" i="41"/>
  <c r="CQ41" i="41"/>
  <c r="CQ172" i="41"/>
  <c r="CQ91" i="41"/>
  <c r="CQ23" i="41"/>
  <c r="CQ96" i="41"/>
  <c r="CQ213" i="41"/>
  <c r="CQ174" i="41"/>
  <c r="CQ210" i="41"/>
  <c r="CQ215" i="41"/>
  <c r="CQ138" i="41"/>
  <c r="J20" i="45"/>
  <c r="CP97" i="41"/>
  <c r="CP24" i="41"/>
  <c r="CR97" i="41"/>
  <c r="CO97" i="41"/>
  <c r="CR24" i="41"/>
  <c r="CO24" i="41"/>
  <c r="X213" i="41"/>
  <c r="X174" i="41"/>
  <c r="CO215" i="41"/>
  <c r="CO213" i="41"/>
  <c r="CO210" i="41"/>
  <c r="CR215" i="41"/>
  <c r="CR213" i="41"/>
  <c r="CR210" i="41"/>
  <c r="CP215" i="41"/>
  <c r="CO214" i="41"/>
  <c r="CP213" i="41"/>
  <c r="CP210" i="41"/>
  <c r="CO209" i="41"/>
  <c r="CP208" i="41"/>
  <c r="CO208" i="41"/>
  <c r="CP174" i="41"/>
  <c r="CO173" i="41"/>
  <c r="CP172" i="41"/>
  <c r="CR208" i="41"/>
  <c r="CR174" i="41"/>
  <c r="CR172" i="41"/>
  <c r="CO174" i="41"/>
  <c r="CO172" i="41"/>
  <c r="CP138" i="41"/>
  <c r="CO137" i="41"/>
  <c r="CP136" i="41"/>
  <c r="CO138" i="41"/>
  <c r="CO136" i="41"/>
  <c r="CO105" i="41"/>
  <c r="CO96" i="41"/>
  <c r="CO93" i="41"/>
  <c r="CR136" i="41"/>
  <c r="CO106" i="41"/>
  <c r="CP96" i="41"/>
  <c r="CP106" i="41"/>
  <c r="CP105" i="41"/>
  <c r="CR138" i="41"/>
  <c r="CR105" i="41"/>
  <c r="CO92" i="41"/>
  <c r="CO91" i="41"/>
  <c r="CR87" i="41"/>
  <c r="CR78" i="41"/>
  <c r="CR106" i="41"/>
  <c r="CR92" i="41"/>
  <c r="CR91" i="41"/>
  <c r="CR96" i="41"/>
  <c r="CP93" i="41"/>
  <c r="CP92" i="41"/>
  <c r="CP91" i="41"/>
  <c r="CO87" i="41"/>
  <c r="CO78" i="41"/>
  <c r="CO75" i="41"/>
  <c r="CO74" i="41"/>
  <c r="CO73" i="41"/>
  <c r="CR69" i="41"/>
  <c r="CP50" i="41"/>
  <c r="CR93" i="41"/>
  <c r="CR74" i="41"/>
  <c r="CP69" i="41"/>
  <c r="CP51" i="41"/>
  <c r="CP42" i="41"/>
  <c r="CP38" i="41"/>
  <c r="CP78" i="41"/>
  <c r="CP74" i="41"/>
  <c r="CO69" i="41"/>
  <c r="CO51" i="41"/>
  <c r="CO50" i="41"/>
  <c r="CO42" i="41"/>
  <c r="CO41" i="41"/>
  <c r="CO38" i="41"/>
  <c r="CO37" i="41"/>
  <c r="CO36" i="41"/>
  <c r="CP75" i="41"/>
  <c r="CP73" i="41"/>
  <c r="CR51" i="41"/>
  <c r="CR50" i="41"/>
  <c r="CP41" i="41"/>
  <c r="CP37" i="41"/>
  <c r="CP87" i="41"/>
  <c r="CO20" i="41"/>
  <c r="CP19" i="41"/>
  <c r="CP23" i="41"/>
  <c r="CR73" i="41"/>
  <c r="CR38" i="41"/>
  <c r="CP32" i="41"/>
  <c r="CR23" i="41"/>
  <c r="CO19" i="41"/>
  <c r="CP18" i="41"/>
  <c r="CR75" i="41"/>
  <c r="CO32" i="41"/>
  <c r="CR20" i="41"/>
  <c r="CR42" i="41"/>
  <c r="CR36" i="41"/>
  <c r="CO23" i="41"/>
  <c r="CP20" i="41"/>
  <c r="CR19" i="41"/>
  <c r="CR37" i="41"/>
  <c r="CP36" i="41"/>
  <c r="CR32" i="41"/>
  <c r="CR18" i="41"/>
  <c r="CR41" i="41"/>
  <c r="CO18" i="41"/>
  <c r="CP209" i="41"/>
  <c r="CR173" i="41"/>
  <c r="CR209" i="41"/>
  <c r="CP214" i="41"/>
  <c r="CR214" i="41"/>
  <c r="CP173" i="41"/>
  <c r="CP137" i="41"/>
  <c r="CR137" i="41"/>
  <c r="X210" i="41"/>
  <c r="X138" i="41"/>
  <c r="X173" i="41"/>
  <c r="X208" i="41"/>
  <c r="X214" i="41"/>
  <c r="X137" i="41"/>
  <c r="X172" i="41"/>
  <c r="X136" i="41"/>
  <c r="X209" i="41"/>
  <c r="X215" i="41"/>
  <c r="X20" i="41"/>
  <c r="X34" i="41"/>
  <c r="X83" i="41"/>
  <c r="X15" i="41"/>
  <c r="X22" i="41"/>
  <c r="X27" i="41"/>
  <c r="X51" i="41"/>
  <c r="X58" i="41"/>
  <c r="X99" i="41"/>
  <c r="X119" i="41"/>
  <c r="X33" i="41"/>
  <c r="X37" i="41"/>
  <c r="X77" i="41"/>
  <c r="X110" i="41"/>
  <c r="X113" i="41"/>
  <c r="X115" i="41"/>
  <c r="X117" i="41"/>
  <c r="X63" i="41"/>
  <c r="X42" i="41"/>
  <c r="X50" i="41"/>
  <c r="X62" i="41"/>
  <c r="X16" i="41"/>
  <c r="X44" i="41"/>
  <c r="X91" i="41"/>
  <c r="X106" i="41"/>
  <c r="X97" i="41"/>
  <c r="AB8" i="41"/>
  <c r="AA132" i="41"/>
  <c r="AA131" i="41"/>
  <c r="AA128" i="41"/>
  <c r="AA133" i="41"/>
  <c r="AA147" i="41"/>
  <c r="AA157" i="41"/>
  <c r="AA126" i="41"/>
  <c r="AA143" i="41"/>
  <c r="AA146" i="41"/>
  <c r="AA153" i="41"/>
  <c r="AA156" i="41"/>
  <c r="AA164" i="41"/>
  <c r="AA158" i="41"/>
  <c r="AA205" i="41"/>
  <c r="AA219" i="41"/>
  <c r="AA218" i="41"/>
  <c r="AA229" i="41"/>
  <c r="AA141" i="41"/>
  <c r="AA152" i="41"/>
  <c r="AA162" i="41"/>
  <c r="AA194" i="41"/>
  <c r="AA198" i="41"/>
  <c r="AA220" i="41"/>
  <c r="AA230" i="41"/>
  <c r="AA169" i="41"/>
  <c r="AA203" i="41"/>
  <c r="AA223" i="41"/>
  <c r="AA142" i="41"/>
  <c r="AA168" i="41"/>
  <c r="AA179" i="41"/>
  <c r="AA200" i="41"/>
  <c r="AA225" i="41"/>
  <c r="AA228" i="41"/>
  <c r="AA127" i="41"/>
  <c r="AA148" i="41"/>
  <c r="AA167" i="41"/>
  <c r="AA199" i="41"/>
  <c r="AA224" i="41"/>
  <c r="AA163" i="41"/>
  <c r="AA151" i="41"/>
  <c r="AA189" i="41"/>
  <c r="AA204" i="41"/>
  <c r="X18" i="41"/>
  <c r="X23" i="41"/>
  <c r="X28" i="41"/>
  <c r="X36" i="41"/>
  <c r="X45" i="41"/>
  <c r="X81" i="41"/>
  <c r="X40" i="41"/>
  <c r="X54" i="41"/>
  <c r="X59" i="41"/>
  <c r="X64" i="41"/>
  <c r="X74" i="41"/>
  <c r="X88" i="41"/>
  <c r="X79" i="41"/>
  <c r="X89" i="41"/>
  <c r="X93" i="41"/>
  <c r="X100" i="41"/>
  <c r="X109" i="41"/>
  <c r="X26" i="41"/>
  <c r="X56" i="41"/>
  <c r="X70" i="41"/>
  <c r="X71" i="41"/>
  <c r="X73" i="41"/>
  <c r="X38" i="41"/>
  <c r="X52" i="41"/>
  <c r="X87" i="41"/>
  <c r="X92" i="41"/>
  <c r="X118" i="41"/>
  <c r="X14" i="41"/>
  <c r="X19" i="41"/>
  <c r="X24" i="41"/>
  <c r="X32" i="41"/>
  <c r="X105" i="41"/>
  <c r="X41" i="41"/>
  <c r="X46" i="41"/>
  <c r="X55" i="41"/>
  <c r="X60" i="41"/>
  <c r="X69" i="41"/>
  <c r="X75" i="41"/>
  <c r="X82" i="41"/>
  <c r="X96" i="41"/>
  <c r="X78" i="41"/>
  <c r="X101" i="41"/>
  <c r="X95" i="41"/>
  <c r="X107" i="41"/>
  <c r="X111" i="41"/>
  <c r="X114" i="41"/>
  <c r="CR14" i="41"/>
  <c r="CO14" i="41"/>
  <c r="CP14" i="41"/>
  <c r="CS7" i="41"/>
  <c r="Y182" i="41" l="1"/>
  <c r="Y271" i="41"/>
  <c r="Y251" i="41"/>
  <c r="Y253" i="41"/>
  <c r="Y183" i="41"/>
  <c r="Y247" i="41"/>
  <c r="Y272" i="41"/>
  <c r="Y248" i="41"/>
  <c r="Y254" i="41"/>
  <c r="Y246" i="41"/>
  <c r="Y184" i="41"/>
  <c r="Y177" i="41"/>
  <c r="Y192" i="41"/>
  <c r="Y283" i="41"/>
  <c r="Y252" i="41"/>
  <c r="Y273" i="41"/>
  <c r="Y255" i="41"/>
  <c r="CS254" i="41"/>
  <c r="CS253" i="41"/>
  <c r="CS255" i="41"/>
  <c r="CS252" i="41"/>
  <c r="CS251" i="41"/>
  <c r="CT254" i="41"/>
  <c r="CS250" i="41"/>
  <c r="CS248" i="41"/>
  <c r="CT277" i="41"/>
  <c r="CS272" i="41"/>
  <c r="CS249" i="41"/>
  <c r="CS277" i="41"/>
  <c r="CS247" i="41"/>
  <c r="CS276" i="41"/>
  <c r="CS270" i="41"/>
  <c r="CS275" i="41"/>
  <c r="CS269" i="41"/>
  <c r="CS274" i="41"/>
  <c r="CS273" i="41"/>
  <c r="CS271" i="41"/>
  <c r="CS246" i="41"/>
  <c r="CS268" i="41"/>
  <c r="CT272" i="41"/>
  <c r="CT252" i="41"/>
  <c r="CU255" i="41"/>
  <c r="CV254" i="41"/>
  <c r="CU251" i="41"/>
  <c r="CV251" i="41"/>
  <c r="CU249" i="41"/>
  <c r="CU248" i="41"/>
  <c r="CU247" i="41"/>
  <c r="CU246" i="41"/>
  <c r="CU276" i="41"/>
  <c r="CU275" i="41"/>
  <c r="CV275" i="41"/>
  <c r="CV274" i="41"/>
  <c r="CT271" i="41"/>
  <c r="CV271" i="41"/>
  <c r="CT270" i="41"/>
  <c r="CU254" i="41"/>
  <c r="CU252" i="41"/>
  <c r="CV252" i="41"/>
  <c r="CV248" i="41"/>
  <c r="CV247" i="41"/>
  <c r="CV246" i="41"/>
  <c r="CV276" i="41"/>
  <c r="CU272" i="41"/>
  <c r="CV272" i="41"/>
  <c r="CT269" i="41"/>
  <c r="CT280" i="41"/>
  <c r="CU250" i="41"/>
  <c r="CV250" i="41"/>
  <c r="CT275" i="41"/>
  <c r="CU274" i="41"/>
  <c r="CU273" i="41"/>
  <c r="CV269" i="41"/>
  <c r="CV268" i="41"/>
  <c r="CV280" i="41"/>
  <c r="CV281" i="41"/>
  <c r="CV282" i="41"/>
  <c r="CV283" i="41"/>
  <c r="CT255" i="41"/>
  <c r="CT253" i="41"/>
  <c r="CV253" i="41"/>
  <c r="CT251" i="41"/>
  <c r="CT248" i="41"/>
  <c r="CT247" i="41"/>
  <c r="CU277" i="41"/>
  <c r="CU271" i="41"/>
  <c r="CU270" i="41"/>
  <c r="CU268" i="41"/>
  <c r="CS281" i="41"/>
  <c r="CS282" i="41"/>
  <c r="CS283" i="41"/>
  <c r="CT250" i="41"/>
  <c r="CV255" i="41"/>
  <c r="CU253" i="41"/>
  <c r="CT249" i="41"/>
  <c r="CV249" i="41"/>
  <c r="CT276" i="41"/>
  <c r="CV273" i="41"/>
  <c r="CV270" i="41"/>
  <c r="CS280" i="41"/>
  <c r="CT281" i="41"/>
  <c r="CT282" i="41"/>
  <c r="CT283" i="41"/>
  <c r="CU281" i="41"/>
  <c r="CT273" i="41"/>
  <c r="CT268" i="41"/>
  <c r="CU280" i="41"/>
  <c r="CT246" i="41"/>
  <c r="CV277" i="41"/>
  <c r="CT274" i="41"/>
  <c r="CU283" i="41"/>
  <c r="CU269" i="41"/>
  <c r="CU282" i="41"/>
  <c r="CU192" i="41"/>
  <c r="CU183" i="41"/>
  <c r="CU109" i="41"/>
  <c r="CU188" i="41"/>
  <c r="CU89" i="41"/>
  <c r="CU193" i="41"/>
  <c r="CU177" i="41"/>
  <c r="CU54" i="41"/>
  <c r="CU182" i="41"/>
  <c r="CU178" i="41"/>
  <c r="CU55" i="41"/>
  <c r="CU187" i="41"/>
  <c r="CU110" i="41"/>
  <c r="CU88" i="41"/>
  <c r="CT192" i="41"/>
  <c r="CS187" i="41"/>
  <c r="CS183" i="41"/>
  <c r="CS182" i="41"/>
  <c r="CS178" i="41"/>
  <c r="CS109" i="41"/>
  <c r="CV89" i="41"/>
  <c r="CS55" i="41"/>
  <c r="CT54" i="41"/>
  <c r="CS89" i="41"/>
  <c r="CT88" i="41"/>
  <c r="CS188" i="41"/>
  <c r="CT187" i="41"/>
  <c r="CT182" i="41"/>
  <c r="CS110" i="41"/>
  <c r="CV54" i="41"/>
  <c r="CS192" i="41"/>
  <c r="CV184" i="41"/>
  <c r="CV177" i="41"/>
  <c r="CV110" i="41"/>
  <c r="CT89" i="41"/>
  <c r="CV88" i="41"/>
  <c r="CS54" i="41"/>
  <c r="CT188" i="41"/>
  <c r="CV187" i="41"/>
  <c r="CT184" i="41"/>
  <c r="CV182" i="41"/>
  <c r="CT177" i="41"/>
  <c r="CT110" i="41"/>
  <c r="CV109" i="41"/>
  <c r="CV55" i="41"/>
  <c r="CS193" i="41"/>
  <c r="CV192" i="41"/>
  <c r="CS184" i="41"/>
  <c r="CS177" i="41"/>
  <c r="CT109" i="41"/>
  <c r="CS88" i="41"/>
  <c r="CT55" i="41"/>
  <c r="CV178" i="41"/>
  <c r="CT178" i="41"/>
  <c r="CV183" i="41"/>
  <c r="CT183" i="41"/>
  <c r="CV188" i="41"/>
  <c r="CV193" i="41"/>
  <c r="CU184" i="41"/>
  <c r="CT193" i="41"/>
  <c r="Y268" i="41"/>
  <c r="Y277" i="41"/>
  <c r="Y276" i="41"/>
  <c r="Y178" i="41"/>
  <c r="Y193" i="41"/>
  <c r="Y282" i="41"/>
  <c r="Y269" i="41"/>
  <c r="Y270" i="41"/>
  <c r="Y275" i="41"/>
  <c r="Y250" i="41"/>
  <c r="Y274" i="41"/>
  <c r="Y249" i="41"/>
  <c r="CP290" i="41"/>
  <c r="CN294" i="41"/>
  <c r="I22" i="45" s="1"/>
  <c r="CM292" i="41"/>
  <c r="CR231" i="41"/>
  <c r="CN292" i="41"/>
  <c r="CO120" i="41"/>
  <c r="CQ231" i="41"/>
  <c r="CL292" i="41"/>
  <c r="CP120" i="41"/>
  <c r="CO231" i="41"/>
  <c r="CQ120" i="41"/>
  <c r="CR120" i="41"/>
  <c r="CP231" i="41"/>
  <c r="CK292" i="41"/>
  <c r="CM294" i="41"/>
  <c r="H22" i="45" s="1"/>
  <c r="CL294" i="41"/>
  <c r="G22" i="45" s="1"/>
  <c r="CR290" i="41"/>
  <c r="CQ290" i="41"/>
  <c r="CK294" i="41"/>
  <c r="F22" i="45" s="1"/>
  <c r="CO290" i="41"/>
  <c r="Y267" i="41"/>
  <c r="Y243" i="41"/>
  <c r="Y266" i="41"/>
  <c r="Y262" i="41"/>
  <c r="Y263" i="41"/>
  <c r="Y242" i="41"/>
  <c r="Y245" i="41"/>
  <c r="Y265" i="41"/>
  <c r="Y264" i="41"/>
  <c r="Y244" i="41"/>
  <c r="CT262" i="41"/>
  <c r="CT263" i="41"/>
  <c r="CT264" i="41"/>
  <c r="CT265" i="41"/>
  <c r="CU262" i="41"/>
  <c r="CS263" i="41"/>
  <c r="CV265" i="41"/>
  <c r="CU266" i="41"/>
  <c r="CV262" i="41"/>
  <c r="CU263" i="41"/>
  <c r="CS264" i="41"/>
  <c r="CV266" i="41"/>
  <c r="CV263" i="41"/>
  <c r="CU264" i="41"/>
  <c r="CS265" i="41"/>
  <c r="CS266" i="41"/>
  <c r="CS267" i="41"/>
  <c r="CU265" i="41"/>
  <c r="CT266" i="41"/>
  <c r="CT267" i="41"/>
  <c r="CS262" i="41"/>
  <c r="Z262" i="41" s="1"/>
  <c r="CU267" i="41"/>
  <c r="CV242" i="41"/>
  <c r="CS243" i="41"/>
  <c r="CT244" i="41"/>
  <c r="CV264" i="41"/>
  <c r="CT245" i="41"/>
  <c r="CV267" i="41"/>
  <c r="CU242" i="41"/>
  <c r="CS242" i="41"/>
  <c r="CT243" i="41"/>
  <c r="CS244" i="41"/>
  <c r="CU245" i="41"/>
  <c r="CT242" i="41"/>
  <c r="CU243" i="41"/>
  <c r="CU244" i="41"/>
  <c r="CV245" i="41"/>
  <c r="CV243" i="41"/>
  <c r="CV244" i="41"/>
  <c r="CS245" i="41"/>
  <c r="Y260" i="41"/>
  <c r="AB284" i="41"/>
  <c r="H284" i="41" s="1"/>
  <c r="AB286" i="41"/>
  <c r="H286" i="41" s="1"/>
  <c r="AB288" i="41"/>
  <c r="H288" i="41" s="1"/>
  <c r="AB285" i="41"/>
  <c r="H285" i="41" s="1"/>
  <c r="AB287" i="41"/>
  <c r="H287" i="41" s="1"/>
  <c r="AB289" i="41"/>
  <c r="H289" i="41" s="1"/>
  <c r="Y261" i="41"/>
  <c r="Y258" i="41"/>
  <c r="Y259" i="41"/>
  <c r="CU258" i="41"/>
  <c r="CS259" i="41"/>
  <c r="CU260" i="41"/>
  <c r="CV258" i="41"/>
  <c r="CT259" i="41"/>
  <c r="CV260" i="41"/>
  <c r="CS258" i="41"/>
  <c r="CU259" i="41"/>
  <c r="CT258" i="41"/>
  <c r="CV259" i="41"/>
  <c r="CT260" i="41"/>
  <c r="CU261" i="41"/>
  <c r="CV261" i="41"/>
  <c r="CS261" i="41"/>
  <c r="CS260" i="41"/>
  <c r="CT261" i="41"/>
  <c r="Y236" i="41"/>
  <c r="Y240" i="41"/>
  <c r="Y241" i="41"/>
  <c r="CV236" i="41"/>
  <c r="CT237" i="41"/>
  <c r="CV238" i="41"/>
  <c r="CT236" i="41"/>
  <c r="CV237" i="41"/>
  <c r="CT238" i="41"/>
  <c r="CU237" i="41"/>
  <c r="CS238" i="41"/>
  <c r="CS239" i="41"/>
  <c r="CU240" i="41"/>
  <c r="CS241" i="41"/>
  <c r="CU238" i="41"/>
  <c r="CT239" i="41"/>
  <c r="CV240" i="41"/>
  <c r="CS236" i="41"/>
  <c r="CU239" i="41"/>
  <c r="CS240" i="41"/>
  <c r="CU241" i="41"/>
  <c r="CU236" i="41"/>
  <c r="CT241" i="41"/>
  <c r="CS237" i="41"/>
  <c r="CT240" i="41"/>
  <c r="CV241" i="41"/>
  <c r="CV239" i="41"/>
  <c r="Y238" i="41"/>
  <c r="Y237" i="41"/>
  <c r="Y239" i="41"/>
  <c r="CU214" i="41"/>
  <c r="CU173" i="41"/>
  <c r="CU96" i="41"/>
  <c r="CU91" i="41"/>
  <c r="CU78" i="41"/>
  <c r="CU73" i="41"/>
  <c r="CU41" i="41"/>
  <c r="CU36" i="41"/>
  <c r="CU23" i="41"/>
  <c r="CU18" i="41"/>
  <c r="CU208" i="41"/>
  <c r="CU136" i="41"/>
  <c r="CU105" i="41"/>
  <c r="CU97" i="41"/>
  <c r="CU92" i="41"/>
  <c r="CU87" i="41"/>
  <c r="CU74" i="41"/>
  <c r="CU69" i="41"/>
  <c r="CU50" i="41"/>
  <c r="CU42" i="41"/>
  <c r="CU37" i="41"/>
  <c r="CU32" i="41"/>
  <c r="CU24" i="41"/>
  <c r="CU19" i="41"/>
  <c r="CU14" i="41"/>
  <c r="CU172" i="41"/>
  <c r="CU106" i="41"/>
  <c r="CU51" i="41"/>
  <c r="CU20" i="41"/>
  <c r="CU137" i="41"/>
  <c r="CU93" i="41"/>
  <c r="CU75" i="41"/>
  <c r="CU213" i="41"/>
  <c r="CU209" i="41"/>
  <c r="CU38" i="41"/>
  <c r="CU215" i="41"/>
  <c r="CU210" i="41"/>
  <c r="CU174" i="41"/>
  <c r="CU138" i="41"/>
  <c r="J21" i="45"/>
  <c r="CV97" i="41"/>
  <c r="CS24" i="41"/>
  <c r="CV24" i="41"/>
  <c r="CT97" i="41"/>
  <c r="CS97" i="41"/>
  <c r="CT24" i="41"/>
  <c r="Y78" i="41"/>
  <c r="Y210" i="41"/>
  <c r="CS215" i="41"/>
  <c r="CS213" i="41"/>
  <c r="CS210" i="41"/>
  <c r="CV215" i="41"/>
  <c r="CS214" i="41"/>
  <c r="CV213" i="41"/>
  <c r="CV210" i="41"/>
  <c r="CS209" i="41"/>
  <c r="CT215" i="41"/>
  <c r="CT213" i="41"/>
  <c r="CT210" i="41"/>
  <c r="CT208" i="41"/>
  <c r="CV208" i="41"/>
  <c r="CT174" i="41"/>
  <c r="CT172" i="41"/>
  <c r="CV174" i="41"/>
  <c r="CS173" i="41"/>
  <c r="CV172" i="41"/>
  <c r="CT138" i="41"/>
  <c r="CT136" i="41"/>
  <c r="CS208" i="41"/>
  <c r="CS138" i="41"/>
  <c r="CS136" i="41"/>
  <c r="CS105" i="41"/>
  <c r="CS96" i="41"/>
  <c r="CS93" i="41"/>
  <c r="CT106" i="41"/>
  <c r="CT105" i="41"/>
  <c r="CV93" i="41"/>
  <c r="CV138" i="41"/>
  <c r="CS137" i="41"/>
  <c r="CS172" i="41"/>
  <c r="CV136" i="41"/>
  <c r="CV106" i="41"/>
  <c r="CS106" i="41"/>
  <c r="CS92" i="41"/>
  <c r="CS91" i="41"/>
  <c r="CV87" i="41"/>
  <c r="CV78" i="41"/>
  <c r="CV96" i="41"/>
  <c r="CT93" i="41"/>
  <c r="CV92" i="41"/>
  <c r="CV91" i="41"/>
  <c r="CS174" i="41"/>
  <c r="CV105" i="41"/>
  <c r="CT92" i="41"/>
  <c r="CT91" i="41"/>
  <c r="CS87" i="41"/>
  <c r="CS78" i="41"/>
  <c r="CS75" i="41"/>
  <c r="CS74" i="41"/>
  <c r="CS73" i="41"/>
  <c r="CV69" i="41"/>
  <c r="CT50" i="41"/>
  <c r="CT78" i="41"/>
  <c r="CV75" i="41"/>
  <c r="CV73" i="41"/>
  <c r="CV51" i="41"/>
  <c r="CV50" i="41"/>
  <c r="CT41" i="41"/>
  <c r="CT37" i="41"/>
  <c r="CT96" i="41"/>
  <c r="CT87" i="41"/>
  <c r="CT75" i="41"/>
  <c r="CT73" i="41"/>
  <c r="CT69" i="41"/>
  <c r="CT51" i="41"/>
  <c r="CS42" i="41"/>
  <c r="CS41" i="41"/>
  <c r="CS38" i="41"/>
  <c r="CS37" i="41"/>
  <c r="CS36" i="41"/>
  <c r="CT74" i="41"/>
  <c r="CT42" i="41"/>
  <c r="CT38" i="41"/>
  <c r="CS69" i="41"/>
  <c r="CV38" i="41"/>
  <c r="CS23" i="41"/>
  <c r="CS51" i="41"/>
  <c r="CT32" i="41"/>
  <c r="CT18" i="41"/>
  <c r="CV41" i="41"/>
  <c r="CV36" i="41"/>
  <c r="CV32" i="41"/>
  <c r="CS20" i="41"/>
  <c r="CT19" i="41"/>
  <c r="CV18" i="41"/>
  <c r="CT36" i="41"/>
  <c r="CV23" i="41"/>
  <c r="CV74" i="41"/>
  <c r="CV37" i="41"/>
  <c r="CS32" i="41"/>
  <c r="CT23" i="41"/>
  <c r="CV20" i="41"/>
  <c r="CS18" i="41"/>
  <c r="CS50" i="41"/>
  <c r="CT20" i="41"/>
  <c r="CV19" i="41"/>
  <c r="CV42" i="41"/>
  <c r="CS19" i="41"/>
  <c r="CT214" i="41"/>
  <c r="CV214" i="41"/>
  <c r="CT173" i="41"/>
  <c r="CV173" i="41"/>
  <c r="CT209" i="41"/>
  <c r="CV209" i="41"/>
  <c r="CV137" i="41"/>
  <c r="CT137" i="41"/>
  <c r="Y136" i="41"/>
  <c r="Y137" i="41"/>
  <c r="Y173" i="41"/>
  <c r="Y214" i="41"/>
  <c r="Y172" i="41"/>
  <c r="Y208" i="41"/>
  <c r="Y213" i="41"/>
  <c r="Y138" i="41"/>
  <c r="Y209" i="41"/>
  <c r="Y174" i="41"/>
  <c r="Y215" i="41"/>
  <c r="Y109" i="41"/>
  <c r="Y19" i="41"/>
  <c r="Y24" i="41"/>
  <c r="Y89" i="41"/>
  <c r="Y87" i="41"/>
  <c r="Y96" i="41"/>
  <c r="Y26" i="41"/>
  <c r="Y45" i="41"/>
  <c r="Y73" i="41"/>
  <c r="Y99" i="41"/>
  <c r="Y114" i="41"/>
  <c r="Y81" i="41"/>
  <c r="Y83" i="41"/>
  <c r="Y97" i="41"/>
  <c r="Y105" i="41"/>
  <c r="Y14" i="41"/>
  <c r="Y44" i="41"/>
  <c r="Y58" i="41"/>
  <c r="Y93" i="41"/>
  <c r="Y15" i="41"/>
  <c r="Y20" i="41"/>
  <c r="Y40" i="41"/>
  <c r="Y54" i="41"/>
  <c r="Y69" i="41"/>
  <c r="Y63" i="41"/>
  <c r="Y95" i="41"/>
  <c r="Y117" i="41"/>
  <c r="Y16" i="41"/>
  <c r="Y22" i="41"/>
  <c r="Y27" i="41"/>
  <c r="Y36" i="41"/>
  <c r="Y41" i="41"/>
  <c r="Y50" i="41"/>
  <c r="Y55" i="41"/>
  <c r="Y60" i="41"/>
  <c r="Y70" i="41"/>
  <c r="Y75" i="41"/>
  <c r="Y106" i="41"/>
  <c r="Y107" i="41"/>
  <c r="Y110" i="41"/>
  <c r="Y113" i="41"/>
  <c r="Y115" i="41"/>
  <c r="AB133" i="41"/>
  <c r="H133" i="41" s="1"/>
  <c r="AB132" i="41"/>
  <c r="H132" i="41" s="1"/>
  <c r="AB131" i="41"/>
  <c r="H131" i="41" s="1"/>
  <c r="AB127" i="41"/>
  <c r="H127" i="41" s="1"/>
  <c r="AB148" i="41"/>
  <c r="H148" i="41" s="1"/>
  <c r="AB158" i="41"/>
  <c r="H158" i="41" s="1"/>
  <c r="AB169" i="41"/>
  <c r="H169" i="41" s="1"/>
  <c r="AB128" i="41"/>
  <c r="H128" i="41" s="1"/>
  <c r="AB147" i="41"/>
  <c r="H147" i="41" s="1"/>
  <c r="AB157" i="41"/>
  <c r="H157" i="41" s="1"/>
  <c r="AB141" i="41"/>
  <c r="H141" i="41" s="1"/>
  <c r="AB152" i="41"/>
  <c r="H152" i="41" s="1"/>
  <c r="AB162" i="41"/>
  <c r="H162" i="41" s="1"/>
  <c r="AB194" i="41"/>
  <c r="H194" i="41" s="1"/>
  <c r="AB198" i="41"/>
  <c r="H198" i="41" s="1"/>
  <c r="AB220" i="41"/>
  <c r="H220" i="41" s="1"/>
  <c r="AB230" i="41"/>
  <c r="H230" i="41" s="1"/>
  <c r="AB143" i="41"/>
  <c r="H143" i="41" s="1"/>
  <c r="AB146" i="41"/>
  <c r="H146" i="41" s="1"/>
  <c r="AB164" i="41"/>
  <c r="H164" i="41" s="1"/>
  <c r="AB167" i="41"/>
  <c r="H167" i="41" s="1"/>
  <c r="AB199" i="41"/>
  <c r="H199" i="41" s="1"/>
  <c r="AB203" i="41"/>
  <c r="H203" i="41" s="1"/>
  <c r="AB224" i="41"/>
  <c r="H224" i="41" s="1"/>
  <c r="AB223" i="41"/>
  <c r="H223" i="41" s="1"/>
  <c r="AB142" i="41"/>
  <c r="H142" i="41" s="1"/>
  <c r="AB168" i="41"/>
  <c r="H168" i="41" s="1"/>
  <c r="AB179" i="41"/>
  <c r="H179" i="41" s="1"/>
  <c r="AB200" i="41"/>
  <c r="H200" i="41" s="1"/>
  <c r="AB225" i="41"/>
  <c r="H225" i="41" s="1"/>
  <c r="AB228" i="41"/>
  <c r="H228" i="41" s="1"/>
  <c r="AB126" i="41"/>
  <c r="H126" i="41" s="1"/>
  <c r="AB153" i="41"/>
  <c r="H153" i="41" s="1"/>
  <c r="AB156" i="41"/>
  <c r="H156" i="41" s="1"/>
  <c r="AB205" i="41"/>
  <c r="H205" i="41" s="1"/>
  <c r="AB219" i="41"/>
  <c r="H219" i="41" s="1"/>
  <c r="AB151" i="41"/>
  <c r="H151" i="41" s="1"/>
  <c r="AB163" i="41"/>
  <c r="H163" i="41" s="1"/>
  <c r="AB189" i="41"/>
  <c r="H189" i="41" s="1"/>
  <c r="AB204" i="41"/>
  <c r="H204" i="41" s="1"/>
  <c r="AB229" i="41"/>
  <c r="H229" i="41" s="1"/>
  <c r="AB218" i="41"/>
  <c r="H218" i="41" s="1"/>
  <c r="Y32" i="41"/>
  <c r="Y38" i="41"/>
  <c r="Y52" i="41"/>
  <c r="Y64" i="41"/>
  <c r="Y79" i="41"/>
  <c r="Y77" i="41"/>
  <c r="Y46" i="41"/>
  <c r="Y59" i="41"/>
  <c r="Y71" i="41"/>
  <c r="Y100" i="41"/>
  <c r="Y101" i="41"/>
  <c r="Y111" i="41"/>
  <c r="Y18" i="41"/>
  <c r="Y23" i="41"/>
  <c r="Y28" i="41"/>
  <c r="Y34" i="41"/>
  <c r="Y33" i="41"/>
  <c r="Y74" i="41"/>
  <c r="Y37" i="41"/>
  <c r="Y42" i="41"/>
  <c r="Y51" i="41"/>
  <c r="Y56" i="41"/>
  <c r="Y62" i="41"/>
  <c r="Y82" i="41"/>
  <c r="Y91" i="41"/>
  <c r="Y88" i="41"/>
  <c r="Y92" i="41"/>
  <c r="Y119" i="41"/>
  <c r="Y118" i="41"/>
  <c r="CV14" i="41"/>
  <c r="CS14" i="41"/>
  <c r="CT14" i="41"/>
  <c r="CW7" i="41"/>
  <c r="Z178" i="41" l="1"/>
  <c r="Z280" i="41"/>
  <c r="Z255" i="41"/>
  <c r="Z182" i="41"/>
  <c r="Z192" i="41"/>
  <c r="Z273" i="41"/>
  <c r="Z249" i="41"/>
  <c r="Z193" i="41"/>
  <c r="Z188" i="41"/>
  <c r="Z283" i="41"/>
  <c r="Z268" i="41"/>
  <c r="Z274" i="41"/>
  <c r="Z276" i="41"/>
  <c r="Z272" i="41"/>
  <c r="Z253" i="41"/>
  <c r="Z177" i="41"/>
  <c r="Z183" i="41"/>
  <c r="Z282" i="41"/>
  <c r="Z246" i="41"/>
  <c r="Z269" i="41"/>
  <c r="Z247" i="41"/>
  <c r="Z251" i="41"/>
  <c r="Z254" i="41"/>
  <c r="Z270" i="41"/>
  <c r="Z250" i="41"/>
  <c r="CW255" i="41"/>
  <c r="CY254" i="41"/>
  <c r="CW252" i="41"/>
  <c r="CW251" i="41"/>
  <c r="CX254" i="41"/>
  <c r="CY252" i="41"/>
  <c r="CW250" i="41"/>
  <c r="CX250" i="41"/>
  <c r="CW254" i="41"/>
  <c r="CX253" i="41"/>
  <c r="CX252" i="41"/>
  <c r="CW248" i="41"/>
  <c r="CW253" i="41"/>
  <c r="CW249" i="41"/>
  <c r="CW247" i="41"/>
  <c r="CY277" i="41"/>
  <c r="CW275" i="41"/>
  <c r="CX273" i="41"/>
  <c r="CW276" i="41"/>
  <c r="CW246" i="41"/>
  <c r="CX277" i="41"/>
  <c r="CW274" i="41"/>
  <c r="CX275" i="41"/>
  <c r="CX271" i="41"/>
  <c r="CW269" i="41"/>
  <c r="CW271" i="41"/>
  <c r="CX255" i="41"/>
  <c r="CX251" i="41"/>
  <c r="CX276" i="41"/>
  <c r="CW268" i="41"/>
  <c r="CX248" i="41"/>
  <c r="CW273" i="41"/>
  <c r="CY272" i="41"/>
  <c r="CX272" i="41"/>
  <c r="CY250" i="41"/>
  <c r="CW272" i="41"/>
  <c r="CW277" i="41"/>
  <c r="CW270" i="41"/>
  <c r="CZ253" i="41"/>
  <c r="CX249" i="41"/>
  <c r="CX247" i="41"/>
  <c r="CX246" i="41"/>
  <c r="CY274" i="41"/>
  <c r="CY273" i="41"/>
  <c r="CZ273" i="41"/>
  <c r="CZ270" i="41"/>
  <c r="CZ269" i="41"/>
  <c r="CY255" i="41"/>
  <c r="CZ254" i="41"/>
  <c r="CY251" i="41"/>
  <c r="CZ251" i="41"/>
  <c r="CY249" i="41"/>
  <c r="CY248" i="41"/>
  <c r="CY247" i="41"/>
  <c r="CY246" i="41"/>
  <c r="CY276" i="41"/>
  <c r="CY275" i="41"/>
  <c r="CZ275" i="41"/>
  <c r="CZ274" i="41"/>
  <c r="CZ271" i="41"/>
  <c r="CX270" i="41"/>
  <c r="CY268" i="41"/>
  <c r="CZ248" i="41"/>
  <c r="CZ246" i="41"/>
  <c r="CZ277" i="41"/>
  <c r="CX274" i="41"/>
  <c r="CY269" i="41"/>
  <c r="CX268" i="41"/>
  <c r="CZ280" i="41"/>
  <c r="CZ281" i="41"/>
  <c r="CZ282" i="41"/>
  <c r="CZ283" i="41"/>
  <c r="CX281" i="41"/>
  <c r="CX283" i="41"/>
  <c r="CZ250" i="41"/>
  <c r="AA250" i="41" s="1"/>
  <c r="CZ276" i="41"/>
  <c r="CZ268" i="41"/>
  <c r="CW280" i="41"/>
  <c r="CW281" i="41"/>
  <c r="CW282" i="41"/>
  <c r="CW283" i="41"/>
  <c r="CZ252" i="41"/>
  <c r="CZ247" i="41"/>
  <c r="CY271" i="41"/>
  <c r="CY270" i="41"/>
  <c r="CX280" i="41"/>
  <c r="CX282" i="41"/>
  <c r="CZ255" i="41"/>
  <c r="CY253" i="41"/>
  <c r="CY282" i="41"/>
  <c r="CY281" i="41"/>
  <c r="CZ249" i="41"/>
  <c r="CZ272" i="41"/>
  <c r="CX269" i="41"/>
  <c r="CY280" i="41"/>
  <c r="CY283" i="41"/>
  <c r="CY192" i="41"/>
  <c r="CY183" i="41"/>
  <c r="CY109" i="41"/>
  <c r="CY188" i="41"/>
  <c r="CY55" i="41"/>
  <c r="CY187" i="41"/>
  <c r="CY110" i="41"/>
  <c r="CY182" i="41"/>
  <c r="CY178" i="41"/>
  <c r="CY89" i="41"/>
  <c r="CY193" i="41"/>
  <c r="CY177" i="41"/>
  <c r="CY88" i="41"/>
  <c r="CY54" i="41"/>
  <c r="CZ192" i="41"/>
  <c r="CX188" i="41"/>
  <c r="CX187" i="41"/>
  <c r="CW184" i="41"/>
  <c r="CX182" i="41"/>
  <c r="CW177" i="41"/>
  <c r="CW110" i="41"/>
  <c r="CX109" i="41"/>
  <c r="CW88" i="41"/>
  <c r="CX55" i="41"/>
  <c r="CZ54" i="41"/>
  <c r="CZ177" i="41"/>
  <c r="CZ110" i="41"/>
  <c r="CX184" i="41"/>
  <c r="CX177" i="41"/>
  <c r="CZ109" i="41"/>
  <c r="CW89" i="41"/>
  <c r="CX88" i="41"/>
  <c r="CZ55" i="41"/>
  <c r="CX192" i="41"/>
  <c r="CW188" i="41"/>
  <c r="CW187" i="41"/>
  <c r="CW182" i="41"/>
  <c r="CW109" i="41"/>
  <c r="CZ89" i="41"/>
  <c r="CW55" i="41"/>
  <c r="CX54" i="41"/>
  <c r="CW193" i="41"/>
  <c r="CW192" i="41"/>
  <c r="AA192" i="41" s="1"/>
  <c r="CZ184" i="41"/>
  <c r="CX89" i="41"/>
  <c r="CZ88" i="41"/>
  <c r="CW54" i="41"/>
  <c r="CZ187" i="41"/>
  <c r="CW183" i="41"/>
  <c r="CZ182" i="41"/>
  <c r="CW178" i="41"/>
  <c r="AA178" i="41" s="1"/>
  <c r="CX110" i="41"/>
  <c r="CX178" i="41"/>
  <c r="CZ178" i="41"/>
  <c r="CZ183" i="41"/>
  <c r="CX183" i="41"/>
  <c r="CZ188" i="41"/>
  <c r="CY184" i="41"/>
  <c r="CZ193" i="41"/>
  <c r="CX193" i="41"/>
  <c r="Z184" i="41"/>
  <c r="Z187" i="41"/>
  <c r="Z281" i="41"/>
  <c r="Z271" i="41"/>
  <c r="Z275" i="41"/>
  <c r="Z277" i="41"/>
  <c r="Z248" i="41"/>
  <c r="Z252" i="41"/>
  <c r="CU231" i="41"/>
  <c r="CP294" i="41"/>
  <c r="G23" i="45" s="1"/>
  <c r="CV231" i="41"/>
  <c r="CR292" i="41"/>
  <c r="CT120" i="41"/>
  <c r="CS120" i="41"/>
  <c r="CT231" i="41"/>
  <c r="CQ292" i="41"/>
  <c r="CS231" i="41"/>
  <c r="CV120" i="41"/>
  <c r="CU120" i="41"/>
  <c r="CO292" i="41"/>
  <c r="CP292" i="41"/>
  <c r="CR294" i="41"/>
  <c r="I23" i="45" s="1"/>
  <c r="CQ294" i="41"/>
  <c r="H23" i="45" s="1"/>
  <c r="CT290" i="41"/>
  <c r="CU290" i="41"/>
  <c r="CV290" i="41"/>
  <c r="CO294" i="41"/>
  <c r="F23" i="45" s="1"/>
  <c r="CS290" i="41"/>
  <c r="Z265" i="41"/>
  <c r="Z264" i="41"/>
  <c r="CX262" i="41"/>
  <c r="CX263" i="41"/>
  <c r="CX264" i="41"/>
  <c r="CX265" i="41"/>
  <c r="CZ262" i="41"/>
  <c r="CY263" i="41"/>
  <c r="CW264" i="41"/>
  <c r="CY266" i="41"/>
  <c r="CZ263" i="41"/>
  <c r="CY264" i="41"/>
  <c r="CW265" i="41"/>
  <c r="CZ266" i="41"/>
  <c r="CW262" i="41"/>
  <c r="CZ264" i="41"/>
  <c r="CY265" i="41"/>
  <c r="CW266" i="41"/>
  <c r="CW267" i="41"/>
  <c r="CW263" i="41"/>
  <c r="CX267" i="41"/>
  <c r="CZ265" i="41"/>
  <c r="CX266" i="41"/>
  <c r="CY267" i="41"/>
  <c r="CZ242" i="41"/>
  <c r="CW243" i="41"/>
  <c r="CX244" i="41"/>
  <c r="CZ267" i="41"/>
  <c r="CW242" i="41"/>
  <c r="CX243" i="41"/>
  <c r="CW244" i="41"/>
  <c r="CX245" i="41"/>
  <c r="CY262" i="41"/>
  <c r="CX242" i="41"/>
  <c r="CY243" i="41"/>
  <c r="CY244" i="41"/>
  <c r="CY245" i="41"/>
  <c r="CW245" i="41"/>
  <c r="CY242" i="41"/>
  <c r="CZ243" i="41"/>
  <c r="CZ244" i="41"/>
  <c r="CZ245" i="41"/>
  <c r="Z242" i="41"/>
  <c r="Z263" i="41"/>
  <c r="Z267" i="41"/>
  <c r="Z245" i="41"/>
  <c r="Z244" i="41"/>
  <c r="Z243" i="41"/>
  <c r="Z266" i="41"/>
  <c r="Z260" i="41"/>
  <c r="Z258" i="41"/>
  <c r="CY258" i="41"/>
  <c r="CW259" i="41"/>
  <c r="CY260" i="41"/>
  <c r="CZ258" i="41"/>
  <c r="CX259" i="41"/>
  <c r="CZ260" i="41"/>
  <c r="CW258" i="41"/>
  <c r="CY259" i="41"/>
  <c r="CX258" i="41"/>
  <c r="CZ259" i="41"/>
  <c r="CX260" i="41"/>
  <c r="CW260" i="41"/>
  <c r="CY261" i="41"/>
  <c r="CZ261" i="41"/>
  <c r="CW261" i="41"/>
  <c r="CX261" i="41"/>
  <c r="Z240" i="41"/>
  <c r="Z261" i="41"/>
  <c r="Z259" i="41"/>
  <c r="Z236" i="41"/>
  <c r="Z241" i="41"/>
  <c r="CZ236" i="41"/>
  <c r="CX237" i="41"/>
  <c r="CZ238" i="41"/>
  <c r="CX236" i="41"/>
  <c r="CZ237" i="41"/>
  <c r="CX238" i="41"/>
  <c r="CW236" i="41"/>
  <c r="CW239" i="41"/>
  <c r="CY240" i="41"/>
  <c r="CW241" i="41"/>
  <c r="CY236" i="41"/>
  <c r="CW237" i="41"/>
  <c r="CX239" i="41"/>
  <c r="CZ240" i="41"/>
  <c r="CY237" i="41"/>
  <c r="CW238" i="41"/>
  <c r="CY239" i="41"/>
  <c r="CW240" i="41"/>
  <c r="CY241" i="41"/>
  <c r="CZ239" i="41"/>
  <c r="CZ241" i="41"/>
  <c r="CY238" i="41"/>
  <c r="CX240" i="41"/>
  <c r="CX241" i="41"/>
  <c r="Z237" i="41"/>
  <c r="Z239" i="41"/>
  <c r="Z238" i="41"/>
  <c r="CY213" i="41"/>
  <c r="CY172" i="41"/>
  <c r="CY214" i="41"/>
  <c r="CY173" i="41"/>
  <c r="CY96" i="41"/>
  <c r="CY91" i="41"/>
  <c r="CY78" i="41"/>
  <c r="CY73" i="41"/>
  <c r="CY41" i="41"/>
  <c r="CY36" i="41"/>
  <c r="CY23" i="41"/>
  <c r="CY18" i="41"/>
  <c r="CY136" i="41"/>
  <c r="CY105" i="41"/>
  <c r="CY97" i="41"/>
  <c r="CY75" i="41"/>
  <c r="CY69" i="41"/>
  <c r="CY50" i="41"/>
  <c r="CY42" i="41"/>
  <c r="CY20" i="41"/>
  <c r="CY14" i="41"/>
  <c r="CY87" i="41"/>
  <c r="CY38" i="41"/>
  <c r="CY24" i="41"/>
  <c r="CY209" i="41"/>
  <c r="CY74" i="41"/>
  <c r="CY19" i="41"/>
  <c r="CY208" i="41"/>
  <c r="CY93" i="41"/>
  <c r="CY32" i="41"/>
  <c r="CY51" i="41"/>
  <c r="CY37" i="41"/>
  <c r="CY106" i="41"/>
  <c r="CY137" i="41"/>
  <c r="CY92" i="41"/>
  <c r="CY210" i="41"/>
  <c r="CY174" i="41"/>
  <c r="CY215" i="41"/>
  <c r="CY138" i="41"/>
  <c r="J22" i="45"/>
  <c r="CX24" i="41"/>
  <c r="CX97" i="41"/>
  <c r="CW97" i="41"/>
  <c r="CZ97" i="41"/>
  <c r="CW24" i="41"/>
  <c r="CZ24" i="41"/>
  <c r="Z172" i="41"/>
  <c r="Z137" i="41"/>
  <c r="Z136" i="41"/>
  <c r="CW215" i="41"/>
  <c r="CW213" i="41"/>
  <c r="CW210" i="41"/>
  <c r="CZ215" i="41"/>
  <c r="CZ213" i="41"/>
  <c r="CZ210" i="41"/>
  <c r="CZ208" i="41"/>
  <c r="CX215" i="41"/>
  <c r="CW214" i="41"/>
  <c r="CX213" i="41"/>
  <c r="CX210" i="41"/>
  <c r="CW209" i="41"/>
  <c r="CX208" i="41"/>
  <c r="CX174" i="41"/>
  <c r="CW173" i="41"/>
  <c r="CX172" i="41"/>
  <c r="CW208" i="41"/>
  <c r="CZ174" i="41"/>
  <c r="CZ172" i="41"/>
  <c r="CW174" i="41"/>
  <c r="CW172" i="41"/>
  <c r="CX138" i="41"/>
  <c r="CW137" i="41"/>
  <c r="CX136" i="41"/>
  <c r="CW138" i="41"/>
  <c r="CW136" i="41"/>
  <c r="CW105" i="41"/>
  <c r="CW96" i="41"/>
  <c r="CW93" i="41"/>
  <c r="CZ138" i="41"/>
  <c r="CZ106" i="41"/>
  <c r="CZ96" i="41"/>
  <c r="CZ105" i="41"/>
  <c r="CX96" i="41"/>
  <c r="CW92" i="41"/>
  <c r="CW91" i="41"/>
  <c r="CZ87" i="41"/>
  <c r="CZ78" i="41"/>
  <c r="CZ93" i="41"/>
  <c r="CZ92" i="41"/>
  <c r="CZ91" i="41"/>
  <c r="CW106" i="41"/>
  <c r="CX93" i="41"/>
  <c r="CX92" i="41"/>
  <c r="CX91" i="41"/>
  <c r="CW87" i="41"/>
  <c r="CW78" i="41"/>
  <c r="CW75" i="41"/>
  <c r="CW74" i="41"/>
  <c r="CW73" i="41"/>
  <c r="CZ69" i="41"/>
  <c r="CX50" i="41"/>
  <c r="CZ136" i="41"/>
  <c r="CX87" i="41"/>
  <c r="CZ74" i="41"/>
  <c r="CX42" i="41"/>
  <c r="CX38" i="41"/>
  <c r="CX105" i="41"/>
  <c r="CX74" i="41"/>
  <c r="CZ51" i="41"/>
  <c r="CZ50" i="41"/>
  <c r="CW42" i="41"/>
  <c r="CW41" i="41"/>
  <c r="CW38" i="41"/>
  <c r="CW37" i="41"/>
  <c r="CW36" i="41"/>
  <c r="CX78" i="41"/>
  <c r="CX75" i="41"/>
  <c r="CX73" i="41"/>
  <c r="CW69" i="41"/>
  <c r="CW51" i="41"/>
  <c r="CW50" i="41"/>
  <c r="CX41" i="41"/>
  <c r="CX37" i="41"/>
  <c r="CZ73" i="41"/>
  <c r="CW18" i="41"/>
  <c r="CZ75" i="41"/>
  <c r="CX51" i="41"/>
  <c r="CZ42" i="41"/>
  <c r="CW23" i="41"/>
  <c r="CX20" i="41"/>
  <c r="CZ19" i="41"/>
  <c r="CX106" i="41"/>
  <c r="CZ37" i="41"/>
  <c r="CX69" i="41"/>
  <c r="CZ38" i="41"/>
  <c r="CZ36" i="41"/>
  <c r="CX32" i="41"/>
  <c r="CZ23" i="41"/>
  <c r="CW19" i="41"/>
  <c r="CX18" i="41"/>
  <c r="CZ41" i="41"/>
  <c r="CX36" i="41"/>
  <c r="CW32" i="41"/>
  <c r="CX23" i="41"/>
  <c r="CZ20" i="41"/>
  <c r="CZ32" i="41"/>
  <c r="CW20" i="41"/>
  <c r="CX19" i="41"/>
  <c r="CZ18" i="41"/>
  <c r="CX214" i="41"/>
  <c r="CZ214" i="41"/>
  <c r="CX173" i="41"/>
  <c r="CZ173" i="41"/>
  <c r="CZ209" i="41"/>
  <c r="CX209" i="41"/>
  <c r="CX137" i="41"/>
  <c r="CZ137" i="41"/>
  <c r="Z138" i="41"/>
  <c r="Z173" i="41"/>
  <c r="Z213" i="41"/>
  <c r="Z214" i="41"/>
  <c r="Z174" i="41"/>
  <c r="Z209" i="41"/>
  <c r="Z215" i="41"/>
  <c r="Z208" i="41"/>
  <c r="Z210" i="41"/>
  <c r="Z24" i="41"/>
  <c r="Z14" i="41"/>
  <c r="Z32" i="41"/>
  <c r="Z33" i="41"/>
  <c r="Z15" i="41"/>
  <c r="Z34" i="41"/>
  <c r="Z101" i="41"/>
  <c r="Z93" i="41"/>
  <c r="Z97" i="41"/>
  <c r="Z42" i="41"/>
  <c r="Z50" i="41"/>
  <c r="Z55" i="41"/>
  <c r="Z69" i="41"/>
  <c r="Z79" i="41"/>
  <c r="Z88" i="41"/>
  <c r="Z82" i="41"/>
  <c r="Z92" i="41"/>
  <c r="Z111" i="41"/>
  <c r="Z19" i="41"/>
  <c r="Z75" i="41"/>
  <c r="Z20" i="41"/>
  <c r="Z26" i="41"/>
  <c r="Z51" i="41"/>
  <c r="Z38" i="41"/>
  <c r="Z62" i="41"/>
  <c r="Z110" i="41"/>
  <c r="Z114" i="41"/>
  <c r="Z16" i="41"/>
  <c r="Z22" i="41"/>
  <c r="Z27" i="41"/>
  <c r="Z83" i="41"/>
  <c r="Z91" i="41"/>
  <c r="Z63" i="41"/>
  <c r="Z40" i="41"/>
  <c r="Z52" i="41"/>
  <c r="Z58" i="41"/>
  <c r="Z71" i="41"/>
  <c r="Z78" i="41"/>
  <c r="Z89" i="41"/>
  <c r="Z106" i="41"/>
  <c r="Z107" i="41"/>
  <c r="Z95" i="41"/>
  <c r="Z119" i="41"/>
  <c r="Z115" i="41"/>
  <c r="Z117" i="41"/>
  <c r="Z37" i="41"/>
  <c r="Z60" i="41"/>
  <c r="Z74" i="41"/>
  <c r="Z45" i="41"/>
  <c r="Z44" i="41"/>
  <c r="Z56" i="41"/>
  <c r="Z73" i="41"/>
  <c r="Z87" i="41"/>
  <c r="Z96" i="41"/>
  <c r="Z113" i="41"/>
  <c r="Z18" i="41"/>
  <c r="Z23" i="41"/>
  <c r="Z28" i="41"/>
  <c r="Z36" i="41"/>
  <c r="Z70" i="41"/>
  <c r="Z100" i="41"/>
  <c r="Z99" i="41"/>
  <c r="Z41" i="41"/>
  <c r="Z46" i="41"/>
  <c r="Z54" i="41"/>
  <c r="Z59" i="41"/>
  <c r="Z64" i="41"/>
  <c r="Z77" i="41"/>
  <c r="Z81" i="41"/>
  <c r="Z105" i="41"/>
  <c r="Z109" i="41"/>
  <c r="Z118" i="41"/>
  <c r="CZ14" i="41"/>
  <c r="CW14" i="41"/>
  <c r="CX14" i="41"/>
  <c r="DA7" i="41"/>
  <c r="AA188" i="41" l="1"/>
  <c r="AA276" i="41"/>
  <c r="AA271" i="41"/>
  <c r="AA249" i="41"/>
  <c r="AA247" i="41"/>
  <c r="AA193" i="41"/>
  <c r="AA184" i="41"/>
  <c r="AA252" i="41"/>
  <c r="AA280" i="41"/>
  <c r="AA270" i="41"/>
  <c r="AA268" i="41"/>
  <c r="AA274" i="41"/>
  <c r="DA254" i="41"/>
  <c r="DD253" i="41"/>
  <c r="DD252" i="41"/>
  <c r="DD255" i="41"/>
  <c r="DB254" i="41"/>
  <c r="DC253" i="41"/>
  <c r="DD251" i="41"/>
  <c r="DA253" i="41"/>
  <c r="DA250" i="41"/>
  <c r="DA249" i="41"/>
  <c r="DD249" i="41"/>
  <c r="DA247" i="41"/>
  <c r="DB247" i="41"/>
  <c r="DA252" i="41"/>
  <c r="DA251" i="41"/>
  <c r="DC249" i="41"/>
  <c r="DD248" i="41"/>
  <c r="DA246" i="41"/>
  <c r="DB246" i="41"/>
  <c r="DC276" i="41"/>
  <c r="DD275" i="41"/>
  <c r="DA274" i="41"/>
  <c r="DB249" i="41"/>
  <c r="DC248" i="41"/>
  <c r="DD247" i="41"/>
  <c r="DC246" i="41"/>
  <c r="DA276" i="41"/>
  <c r="DC255" i="41"/>
  <c r="DC251" i="41"/>
  <c r="DD250" i="41"/>
  <c r="DD277" i="41"/>
  <c r="DD276" i="41"/>
  <c r="DD254" i="41"/>
  <c r="DB274" i="41"/>
  <c r="DC273" i="41"/>
  <c r="DC270" i="41"/>
  <c r="DD269" i="41"/>
  <c r="DA268" i="41"/>
  <c r="DA272" i="41"/>
  <c r="DD246" i="41"/>
  <c r="DA273" i="41"/>
  <c r="DD272" i="41"/>
  <c r="DA271" i="41"/>
  <c r="DC269" i="41"/>
  <c r="DD268" i="41"/>
  <c r="DA248" i="41"/>
  <c r="DC247" i="41"/>
  <c r="DB277" i="41"/>
  <c r="DA275" i="41"/>
  <c r="DD274" i="41"/>
  <c r="DC274" i="41"/>
  <c r="DC275" i="41"/>
  <c r="DD273" i="41"/>
  <c r="DC271" i="41"/>
  <c r="DD270" i="41"/>
  <c r="DA270" i="41"/>
  <c r="DB269" i="41"/>
  <c r="DC268" i="41"/>
  <c r="DA255" i="41"/>
  <c r="DA269" i="41"/>
  <c r="AB269" i="41" s="1"/>
  <c r="DD271" i="41"/>
  <c r="DA277" i="41"/>
  <c r="DB255" i="41"/>
  <c r="DC252" i="41"/>
  <c r="DB251" i="41"/>
  <c r="AB251" i="41" s="1"/>
  <c r="DB248" i="41"/>
  <c r="AB248" i="41" s="1"/>
  <c r="DB276" i="41"/>
  <c r="DB275" i="41"/>
  <c r="AB275" i="41" s="1"/>
  <c r="DC272" i="41"/>
  <c r="DB268" i="41"/>
  <c r="AB268" i="41" s="1"/>
  <c r="H268" i="41" s="1"/>
  <c r="DC250" i="41"/>
  <c r="DB272" i="41"/>
  <c r="DB273" i="41"/>
  <c r="AB273" i="41" s="1"/>
  <c r="DD280" i="41"/>
  <c r="DD281" i="41"/>
  <c r="DD282" i="41"/>
  <c r="DD283" i="41"/>
  <c r="DB252" i="41"/>
  <c r="DB271" i="41"/>
  <c r="DB270" i="41"/>
  <c r="AB270" i="41" s="1"/>
  <c r="DA280" i="41"/>
  <c r="DA281" i="41"/>
  <c r="AB281" i="41" s="1"/>
  <c r="DA282" i="41"/>
  <c r="DA283" i="41"/>
  <c r="DC254" i="41"/>
  <c r="AB254" i="41" s="1"/>
  <c r="DB253" i="41"/>
  <c r="AB253" i="41" s="1"/>
  <c r="DC277" i="41"/>
  <c r="DB280" i="41"/>
  <c r="DB281" i="41"/>
  <c r="DB282" i="41"/>
  <c r="DB283" i="41"/>
  <c r="DB250" i="41"/>
  <c r="DC283" i="41"/>
  <c r="DC282" i="41"/>
  <c r="DC281" i="41"/>
  <c r="DC280" i="41"/>
  <c r="DC192" i="41"/>
  <c r="DC183" i="41"/>
  <c r="DC109" i="41"/>
  <c r="DC188" i="41"/>
  <c r="DC178" i="41"/>
  <c r="DC89" i="41"/>
  <c r="DC193" i="41"/>
  <c r="DC177" i="41"/>
  <c r="DC110" i="41"/>
  <c r="DC88" i="41"/>
  <c r="DC54" i="41"/>
  <c r="DC182" i="41"/>
  <c r="DC55" i="41"/>
  <c r="DC187" i="41"/>
  <c r="DD187" i="41"/>
  <c r="DB184" i="41"/>
  <c r="DD182" i="41"/>
  <c r="DB177" i="41"/>
  <c r="DB110" i="41"/>
  <c r="DD109" i="41"/>
  <c r="DA89" i="41"/>
  <c r="DB88" i="41"/>
  <c r="DD55" i="41"/>
  <c r="DA182" i="41"/>
  <c r="DA178" i="41"/>
  <c r="DA109" i="41"/>
  <c r="DD89" i="41"/>
  <c r="DA55" i="41"/>
  <c r="DB54" i="41"/>
  <c r="DA192" i="41"/>
  <c r="AB192" i="41" s="1"/>
  <c r="H192" i="41" s="1"/>
  <c r="DD110" i="41"/>
  <c r="DA193" i="41"/>
  <c r="DD192" i="41"/>
  <c r="DB187" i="41"/>
  <c r="DA184" i="41"/>
  <c r="DB182" i="41"/>
  <c r="DA177" i="41"/>
  <c r="DA110" i="41"/>
  <c r="DB109" i="41"/>
  <c r="DA88" i="41"/>
  <c r="DB55" i="41"/>
  <c r="DD54" i="41"/>
  <c r="DB192" i="41"/>
  <c r="DB188" i="41"/>
  <c r="DA187" i="41"/>
  <c r="DA183" i="41"/>
  <c r="AB183" i="41" s="1"/>
  <c r="H183" i="41" s="1"/>
  <c r="DA188" i="41"/>
  <c r="DD184" i="41"/>
  <c r="DD177" i="41"/>
  <c r="DB89" i="41"/>
  <c r="DD88" i="41"/>
  <c r="DA54" i="41"/>
  <c r="DD178" i="41"/>
  <c r="DB178" i="41"/>
  <c r="DD183" i="41"/>
  <c r="DB183" i="41"/>
  <c r="DD193" i="41"/>
  <c r="DD188" i="41"/>
  <c r="DC184" i="41"/>
  <c r="DB193" i="41"/>
  <c r="AA183" i="41"/>
  <c r="AA182" i="41"/>
  <c r="AA272" i="41"/>
  <c r="AA283" i="41"/>
  <c r="AA277" i="41"/>
  <c r="AA254" i="41"/>
  <c r="AA269" i="41"/>
  <c r="AA275" i="41"/>
  <c r="AA253" i="41"/>
  <c r="AA255" i="41"/>
  <c r="AA281" i="41"/>
  <c r="AA187" i="41"/>
  <c r="AA177" i="41"/>
  <c r="AA282" i="41"/>
  <c r="AA273" i="41"/>
  <c r="AA246" i="41"/>
  <c r="AA248" i="41"/>
  <c r="AA251" i="41"/>
  <c r="CX290" i="41"/>
  <c r="CX120" i="41"/>
  <c r="CV292" i="41"/>
  <c r="CV294" i="41"/>
  <c r="I24" i="45" s="1"/>
  <c r="CZ231" i="41"/>
  <c r="CW120" i="41"/>
  <c r="CX231" i="41"/>
  <c r="CZ120" i="41"/>
  <c r="CU292" i="41"/>
  <c r="CW231" i="41"/>
  <c r="CY120" i="41"/>
  <c r="CY231" i="41"/>
  <c r="CS294" i="41"/>
  <c r="F24" i="45" s="1"/>
  <c r="CT294" i="41"/>
  <c r="G24" i="45" s="1"/>
  <c r="CU294" i="41"/>
  <c r="H24" i="45" s="1"/>
  <c r="CT292" i="41"/>
  <c r="CZ290" i="41"/>
  <c r="CY290" i="41"/>
  <c r="CS292" i="41"/>
  <c r="CW290" i="41"/>
  <c r="AA244" i="41"/>
  <c r="AA267" i="41"/>
  <c r="AA262" i="41"/>
  <c r="AA266" i="41"/>
  <c r="DB262" i="41"/>
  <c r="DB263" i="41"/>
  <c r="DB264" i="41"/>
  <c r="DB265" i="41"/>
  <c r="DD263" i="41"/>
  <c r="DC264" i="41"/>
  <c r="DA265" i="41"/>
  <c r="DC266" i="41"/>
  <c r="DA262" i="41"/>
  <c r="DD264" i="41"/>
  <c r="DC265" i="41"/>
  <c r="DD266" i="41"/>
  <c r="DC262" i="41"/>
  <c r="DA263" i="41"/>
  <c r="DD265" i="41"/>
  <c r="DA266" i="41"/>
  <c r="DD262" i="41"/>
  <c r="DA264" i="41"/>
  <c r="DA267" i="41"/>
  <c r="DB267" i="41"/>
  <c r="DC263" i="41"/>
  <c r="DC267" i="41"/>
  <c r="DD242" i="41"/>
  <c r="DA243" i="41"/>
  <c r="DB244" i="41"/>
  <c r="DB266" i="41"/>
  <c r="DB242" i="41"/>
  <c r="DC243" i="41"/>
  <c r="DC244" i="41"/>
  <c r="DB245" i="41"/>
  <c r="DA242" i="41"/>
  <c r="DB243" i="41"/>
  <c r="DA244" i="41"/>
  <c r="DA245" i="41"/>
  <c r="DD267" i="41"/>
  <c r="DC242" i="41"/>
  <c r="DD243" i="41"/>
  <c r="DD244" i="41"/>
  <c r="DC245" i="41"/>
  <c r="DD245" i="41"/>
  <c r="AA242" i="41"/>
  <c r="AA265" i="41"/>
  <c r="AA264" i="41"/>
  <c r="AA243" i="41"/>
  <c r="AA263" i="41"/>
  <c r="AA245" i="41"/>
  <c r="AA240" i="41"/>
  <c r="AA241" i="41"/>
  <c r="AA261" i="41"/>
  <c r="AA258" i="41"/>
  <c r="AA259" i="41"/>
  <c r="DC258" i="41"/>
  <c r="DA259" i="41"/>
  <c r="DC260" i="41"/>
  <c r="DD258" i="41"/>
  <c r="DB259" i="41"/>
  <c r="DD260" i="41"/>
  <c r="DA258" i="41"/>
  <c r="DC259" i="41"/>
  <c r="DB258" i="41"/>
  <c r="DD259" i="41"/>
  <c r="DB260" i="41"/>
  <c r="DC261" i="41"/>
  <c r="DA260" i="41"/>
  <c r="DD261" i="41"/>
  <c r="DA261" i="41"/>
  <c r="DB261" i="41"/>
  <c r="AA260" i="41"/>
  <c r="DD236" i="41"/>
  <c r="DB237" i="41"/>
  <c r="DD238" i="41"/>
  <c r="DB236" i="41"/>
  <c r="DD237" i="41"/>
  <c r="DB238" i="41"/>
  <c r="DC237" i="41"/>
  <c r="DA238" i="41"/>
  <c r="DA239" i="41"/>
  <c r="DC240" i="41"/>
  <c r="DA241" i="41"/>
  <c r="DC238" i="41"/>
  <c r="DB239" i="41"/>
  <c r="DD240" i="41"/>
  <c r="DA236" i="41"/>
  <c r="DC239" i="41"/>
  <c r="DA240" i="41"/>
  <c r="DC241" i="41"/>
  <c r="DB240" i="41"/>
  <c r="DC236" i="41"/>
  <c r="DD239" i="41"/>
  <c r="DB241" i="41"/>
  <c r="DD241" i="41"/>
  <c r="DA237" i="41"/>
  <c r="AA238" i="41"/>
  <c r="AA237" i="41"/>
  <c r="AA239" i="41"/>
  <c r="AA236" i="41"/>
  <c r="DC209" i="41"/>
  <c r="DC137" i="41"/>
  <c r="DC106" i="41"/>
  <c r="DC93" i="41"/>
  <c r="DC75" i="41"/>
  <c r="DC51" i="41"/>
  <c r="DC38" i="41"/>
  <c r="DC20" i="41"/>
  <c r="DC213" i="41"/>
  <c r="DC172" i="41"/>
  <c r="DC173" i="41"/>
  <c r="DC105" i="41"/>
  <c r="DC97" i="41"/>
  <c r="DC91" i="41"/>
  <c r="DC78" i="41"/>
  <c r="DC37" i="41"/>
  <c r="DC32" i="41"/>
  <c r="DC24" i="41"/>
  <c r="DC18" i="41"/>
  <c r="DC74" i="41"/>
  <c r="DC136" i="41"/>
  <c r="DC96" i="41"/>
  <c r="DC50" i="41"/>
  <c r="DC42" i="41"/>
  <c r="DC36" i="41"/>
  <c r="DC23" i="41"/>
  <c r="DC214" i="41"/>
  <c r="DC69" i="41"/>
  <c r="DC41" i="41"/>
  <c r="DC87" i="41"/>
  <c r="DC14" i="41"/>
  <c r="DC208" i="41"/>
  <c r="DC73" i="41"/>
  <c r="DC92" i="41"/>
  <c r="DC19" i="41"/>
  <c r="DC174" i="41"/>
  <c r="DC210" i="41"/>
  <c r="DC215" i="41"/>
  <c r="DC138" i="41"/>
  <c r="J23" i="45"/>
  <c r="DA97" i="41"/>
  <c r="DD24" i="41"/>
  <c r="DB24" i="41"/>
  <c r="DD97" i="41"/>
  <c r="DA24" i="41"/>
  <c r="DB97" i="41"/>
  <c r="AA136" i="41"/>
  <c r="AA174" i="41"/>
  <c r="AA210" i="41"/>
  <c r="DA215" i="41"/>
  <c r="DA213" i="41"/>
  <c r="DA210" i="41"/>
  <c r="DD215" i="41"/>
  <c r="DA214" i="41"/>
  <c r="DD213" i="41"/>
  <c r="DD210" i="41"/>
  <c r="DA209" i="41"/>
  <c r="DD208" i="41"/>
  <c r="DB215" i="41"/>
  <c r="DB213" i="41"/>
  <c r="DB210" i="41"/>
  <c r="DB208" i="41"/>
  <c r="DA208" i="41"/>
  <c r="DB174" i="41"/>
  <c r="DB172" i="41"/>
  <c r="DD174" i="41"/>
  <c r="DA173" i="41"/>
  <c r="DD172" i="41"/>
  <c r="DB138" i="41"/>
  <c r="DB136" i="41"/>
  <c r="DA138" i="41"/>
  <c r="DA136" i="41"/>
  <c r="DA105" i="41"/>
  <c r="DA96" i="41"/>
  <c r="DA93" i="41"/>
  <c r="DA137" i="41"/>
  <c r="DD105" i="41"/>
  <c r="DB93" i="41"/>
  <c r="DA174" i="41"/>
  <c r="DD136" i="41"/>
  <c r="DD138" i="41"/>
  <c r="DA106" i="41"/>
  <c r="DD106" i="41"/>
  <c r="DD96" i="41"/>
  <c r="DA92" i="41"/>
  <c r="DA91" i="41"/>
  <c r="DD87" i="41"/>
  <c r="DD78" i="41"/>
  <c r="DB106" i="41"/>
  <c r="DB105" i="41"/>
  <c r="DD92" i="41"/>
  <c r="DD91" i="41"/>
  <c r="DD93" i="41"/>
  <c r="DB92" i="41"/>
  <c r="DB91" i="41"/>
  <c r="DA87" i="41"/>
  <c r="DA78" i="41"/>
  <c r="DA75" i="41"/>
  <c r="DA74" i="41"/>
  <c r="DA73" i="41"/>
  <c r="DD69" i="41"/>
  <c r="DB50" i="41"/>
  <c r="DB96" i="41"/>
  <c r="DD75" i="41"/>
  <c r="DD73" i="41"/>
  <c r="DA69" i="41"/>
  <c r="DA51" i="41"/>
  <c r="DA50" i="41"/>
  <c r="DB37" i="41"/>
  <c r="DA172" i="41"/>
  <c r="DB75" i="41"/>
  <c r="DB73" i="41"/>
  <c r="DA42" i="41"/>
  <c r="DA41" i="41"/>
  <c r="DA38" i="41"/>
  <c r="DA37" i="41"/>
  <c r="DA36" i="41"/>
  <c r="DB87" i="41"/>
  <c r="DB74" i="41"/>
  <c r="DB69" i="41"/>
  <c r="DB51" i="41"/>
  <c r="DB42" i="41"/>
  <c r="DB41" i="41"/>
  <c r="DB38" i="41"/>
  <c r="DB78" i="41"/>
  <c r="DD42" i="41"/>
  <c r="DB32" i="41"/>
  <c r="DA19" i="41"/>
  <c r="DD50" i="41"/>
  <c r="DD38" i="41"/>
  <c r="DB20" i="41"/>
  <c r="DD37" i="41"/>
  <c r="DD36" i="41"/>
  <c r="DA32" i="41"/>
  <c r="DB23" i="41"/>
  <c r="DD20" i="41"/>
  <c r="DA18" i="41"/>
  <c r="DD74" i="41"/>
  <c r="DD19" i="41"/>
  <c r="DD41" i="41"/>
  <c r="DD32" i="41"/>
  <c r="DA20" i="41"/>
  <c r="DB19" i="41"/>
  <c r="DD18" i="41"/>
  <c r="DD51" i="41"/>
  <c r="DD23" i="41"/>
  <c r="DB18" i="41"/>
  <c r="DB36" i="41"/>
  <c r="DA23" i="41"/>
  <c r="DD209" i="41"/>
  <c r="DD173" i="41"/>
  <c r="DB209" i="41"/>
  <c r="DB173" i="41"/>
  <c r="DD214" i="41"/>
  <c r="DB214" i="41"/>
  <c r="DB137" i="41"/>
  <c r="DD137" i="41"/>
  <c r="AA208" i="41"/>
  <c r="AA209" i="41"/>
  <c r="AA138" i="41"/>
  <c r="AA213" i="41"/>
  <c r="AA137" i="41"/>
  <c r="AA172" i="41"/>
  <c r="AA173" i="41"/>
  <c r="AA214" i="41"/>
  <c r="AA215" i="41"/>
  <c r="AA18" i="41"/>
  <c r="AA23" i="41"/>
  <c r="AA28" i="41"/>
  <c r="AA71" i="41"/>
  <c r="AA81" i="41"/>
  <c r="AA105" i="41"/>
  <c r="AA41" i="41"/>
  <c r="AA50" i="41"/>
  <c r="AA75" i="41"/>
  <c r="AA114" i="41"/>
  <c r="AA34" i="41"/>
  <c r="AA22" i="41"/>
  <c r="AA27" i="41"/>
  <c r="AA36" i="41"/>
  <c r="AA59" i="41"/>
  <c r="AA89" i="41"/>
  <c r="AA74" i="41"/>
  <c r="AA109" i="41"/>
  <c r="AA106" i="41"/>
  <c r="AA117" i="41"/>
  <c r="AA119" i="41"/>
  <c r="AA115" i="41"/>
  <c r="AA73" i="41"/>
  <c r="AA46" i="41"/>
  <c r="AA69" i="41"/>
  <c r="AA100" i="41"/>
  <c r="AA70" i="41"/>
  <c r="AA55" i="41"/>
  <c r="AA60" i="41"/>
  <c r="AA78" i="41"/>
  <c r="AA95" i="41"/>
  <c r="AA113" i="41"/>
  <c r="AA14" i="41"/>
  <c r="AA19" i="41"/>
  <c r="AA24" i="41"/>
  <c r="AA32" i="41"/>
  <c r="AA45" i="41"/>
  <c r="AA79" i="41"/>
  <c r="AA87" i="41"/>
  <c r="AA37" i="41"/>
  <c r="AA42" i="41"/>
  <c r="AA56" i="41"/>
  <c r="AA62" i="41"/>
  <c r="AA101" i="41"/>
  <c r="AA82" i="41"/>
  <c r="AA83" i="41"/>
  <c r="AA111" i="41"/>
  <c r="AA96" i="41"/>
  <c r="AA107" i="41"/>
  <c r="AA16" i="41"/>
  <c r="AA40" i="41"/>
  <c r="AA54" i="41"/>
  <c r="AA93" i="41"/>
  <c r="AA51" i="41"/>
  <c r="AA15" i="41"/>
  <c r="AA20" i="41"/>
  <c r="AA26" i="41"/>
  <c r="AA33" i="41"/>
  <c r="AA38" i="41"/>
  <c r="AA44" i="41"/>
  <c r="AA52" i="41"/>
  <c r="AA58" i="41"/>
  <c r="AA64" i="41"/>
  <c r="AA63" i="41"/>
  <c r="AA77" i="41"/>
  <c r="AA91" i="41"/>
  <c r="AA99" i="41"/>
  <c r="AA88" i="41"/>
  <c r="AA97" i="41"/>
  <c r="AA92" i="41"/>
  <c r="AA110" i="41"/>
  <c r="AA118" i="41"/>
  <c r="DD14" i="41"/>
  <c r="DA14" i="41"/>
  <c r="DB14" i="41"/>
  <c r="AB283" i="41" l="1"/>
  <c r="H283" i="41" s="1"/>
  <c r="H269" i="41"/>
  <c r="AB247" i="41"/>
  <c r="H247" i="41" s="1"/>
  <c r="H253" i="41"/>
  <c r="H281" i="41"/>
  <c r="H248" i="41"/>
  <c r="AB277" i="41"/>
  <c r="H277" i="41" s="1"/>
  <c r="AB249" i="41"/>
  <c r="H249" i="41" s="1"/>
  <c r="AB193" i="41"/>
  <c r="H193" i="41" s="1"/>
  <c r="AB182" i="41"/>
  <c r="H182" i="41" s="1"/>
  <c r="H270" i="41"/>
  <c r="H275" i="41"/>
  <c r="AB188" i="41"/>
  <c r="H188" i="41" s="1"/>
  <c r="AB184" i="41"/>
  <c r="H184" i="41" s="1"/>
  <c r="AB282" i="41"/>
  <c r="H282" i="41" s="1"/>
  <c r="AB271" i="41"/>
  <c r="H271" i="41" s="1"/>
  <c r="AB276" i="41"/>
  <c r="H276" i="41" s="1"/>
  <c r="AB255" i="41"/>
  <c r="H255" i="41" s="1"/>
  <c r="AB272" i="41"/>
  <c r="H272" i="41" s="1"/>
  <c r="AB274" i="41"/>
  <c r="H274" i="41" s="1"/>
  <c r="AB246" i="41"/>
  <c r="H246" i="41" s="1"/>
  <c r="AB252" i="41"/>
  <c r="H252" i="41" s="1"/>
  <c r="AB187" i="41"/>
  <c r="H187" i="41" s="1"/>
  <c r="AB177" i="41"/>
  <c r="H177" i="41" s="1"/>
  <c r="AB178" i="41"/>
  <c r="H178" i="41" s="1"/>
  <c r="H254" i="41"/>
  <c r="AB280" i="41"/>
  <c r="H280" i="41" s="1"/>
  <c r="H273" i="41"/>
  <c r="H251" i="41"/>
  <c r="AB250" i="41"/>
  <c r="H250" i="41" s="1"/>
  <c r="CX294" i="41"/>
  <c r="G25" i="45" s="1"/>
  <c r="CX292" i="41"/>
  <c r="DB120" i="41"/>
  <c r="F51" i="46" s="1"/>
  <c r="DB231" i="41"/>
  <c r="R7" i="46" s="1"/>
  <c r="DC231" i="41"/>
  <c r="S7" i="46" s="1"/>
  <c r="CY292" i="41"/>
  <c r="CZ292" i="41"/>
  <c r="DA120" i="41"/>
  <c r="E51" i="46" s="1"/>
  <c r="DD231" i="41"/>
  <c r="T7" i="46" s="1"/>
  <c r="DA231" i="41"/>
  <c r="Q7" i="46" s="1"/>
  <c r="DC120" i="41"/>
  <c r="G51" i="46" s="1"/>
  <c r="CW292" i="41"/>
  <c r="DD120" i="41"/>
  <c r="H51" i="46" s="1"/>
  <c r="CZ294" i="41"/>
  <c r="I25" i="45" s="1"/>
  <c r="CW294" i="41"/>
  <c r="F25" i="45" s="1"/>
  <c r="CY294" i="41"/>
  <c r="H25" i="45" s="1"/>
  <c r="DC290" i="41"/>
  <c r="DB290" i="41"/>
  <c r="DD290" i="41"/>
  <c r="DA290" i="41"/>
  <c r="AB266" i="41"/>
  <c r="H266" i="41" s="1"/>
  <c r="AB244" i="41"/>
  <c r="H244" i="41" s="1"/>
  <c r="AB242" i="41"/>
  <c r="H242" i="41" s="1"/>
  <c r="AB267" i="41"/>
  <c r="H267" i="41" s="1"/>
  <c r="AB265" i="41"/>
  <c r="H265" i="41" s="1"/>
  <c r="AB245" i="41"/>
  <c r="H245" i="41" s="1"/>
  <c r="AB264" i="41"/>
  <c r="H264" i="41" s="1"/>
  <c r="AB263" i="41"/>
  <c r="H263" i="41" s="1"/>
  <c r="AB262" i="41"/>
  <c r="H262" i="41" s="1"/>
  <c r="AB243" i="41"/>
  <c r="H243" i="41" s="1"/>
  <c r="AB261" i="41"/>
  <c r="H261" i="41" s="1"/>
  <c r="AB258" i="41"/>
  <c r="H258" i="41" s="1"/>
  <c r="AB240" i="41"/>
  <c r="H240" i="41" s="1"/>
  <c r="AB259" i="41"/>
  <c r="H259" i="41" s="1"/>
  <c r="AB237" i="41"/>
  <c r="H237" i="41" s="1"/>
  <c r="AB260" i="41"/>
  <c r="H260" i="41" s="1"/>
  <c r="AB238" i="41"/>
  <c r="H238" i="41" s="1"/>
  <c r="AB236" i="41"/>
  <c r="H236" i="41" s="1"/>
  <c r="AB241" i="41"/>
  <c r="H241" i="41" s="1"/>
  <c r="AB239" i="41"/>
  <c r="H239" i="41" s="1"/>
  <c r="J24" i="45"/>
  <c r="AB172" i="41"/>
  <c r="H172" i="41" s="1"/>
  <c r="AB137" i="41"/>
  <c r="H137" i="41" s="1"/>
  <c r="AB173" i="41"/>
  <c r="H173" i="41" s="1"/>
  <c r="AB213" i="41"/>
  <c r="H213" i="41" s="1"/>
  <c r="AB174" i="41"/>
  <c r="H174" i="41" s="1"/>
  <c r="AB138" i="41"/>
  <c r="H138" i="41" s="1"/>
  <c r="AB208" i="41"/>
  <c r="H208" i="41" s="1"/>
  <c r="AB214" i="41"/>
  <c r="H214" i="41" s="1"/>
  <c r="AB209" i="41"/>
  <c r="H209" i="41" s="1"/>
  <c r="AB215" i="41"/>
  <c r="H215" i="41" s="1"/>
  <c r="AB136" i="41"/>
  <c r="H136" i="41" s="1"/>
  <c r="AB210" i="41"/>
  <c r="H210" i="41" s="1"/>
  <c r="AB14" i="41"/>
  <c r="H14" i="41" s="1"/>
  <c r="AB32" i="41"/>
  <c r="H32" i="41" s="1"/>
  <c r="AB55" i="41"/>
  <c r="H55" i="41" s="1"/>
  <c r="AB118" i="41"/>
  <c r="H118" i="41" s="1"/>
  <c r="AB73" i="41"/>
  <c r="H73" i="41" s="1"/>
  <c r="AB114" i="41"/>
  <c r="H114" i="41" s="1"/>
  <c r="AB18" i="41"/>
  <c r="H18" i="41" s="1"/>
  <c r="AB23" i="41"/>
  <c r="H23" i="41" s="1"/>
  <c r="AB75" i="41"/>
  <c r="H75" i="41" s="1"/>
  <c r="AB40" i="41"/>
  <c r="H40" i="41" s="1"/>
  <c r="AB54" i="41"/>
  <c r="H54" i="41" s="1"/>
  <c r="AB83" i="41"/>
  <c r="H83" i="41" s="1"/>
  <c r="AB105" i="41"/>
  <c r="H105" i="41" s="1"/>
  <c r="AB93" i="41"/>
  <c r="H93" i="41" s="1"/>
  <c r="AB115" i="41"/>
  <c r="H115" i="41" s="1"/>
  <c r="AB117" i="41"/>
  <c r="H117" i="41" s="1"/>
  <c r="AB52" i="41"/>
  <c r="H52" i="41" s="1"/>
  <c r="AB97" i="41"/>
  <c r="H97" i="41" s="1"/>
  <c r="AB28" i="41"/>
  <c r="H28" i="41" s="1"/>
  <c r="AB59" i="41"/>
  <c r="H59" i="41" s="1"/>
  <c r="AB64" i="41"/>
  <c r="H64" i="41" s="1"/>
  <c r="AB74" i="41"/>
  <c r="H74" i="41" s="1"/>
  <c r="AB101" i="41"/>
  <c r="H101" i="41" s="1"/>
  <c r="AB19" i="41"/>
  <c r="H19" i="41" s="1"/>
  <c r="AB24" i="41"/>
  <c r="H24" i="41" s="1"/>
  <c r="AB82" i="41"/>
  <c r="H82" i="41" s="1"/>
  <c r="AB77" i="41"/>
  <c r="H77" i="41" s="1"/>
  <c r="AB51" i="41"/>
  <c r="H51" i="41" s="1"/>
  <c r="AB88" i="41"/>
  <c r="H88" i="41" s="1"/>
  <c r="AB41" i="41"/>
  <c r="H41" i="41" s="1"/>
  <c r="AB46" i="41"/>
  <c r="H46" i="41" s="1"/>
  <c r="AB60" i="41"/>
  <c r="H60" i="41" s="1"/>
  <c r="AB69" i="41"/>
  <c r="H69" i="41" s="1"/>
  <c r="AB91" i="41"/>
  <c r="H91" i="41" s="1"/>
  <c r="AB70" i="41"/>
  <c r="H70" i="41" s="1"/>
  <c r="AB95" i="41"/>
  <c r="H95" i="41" s="1"/>
  <c r="AB106" i="41"/>
  <c r="H106" i="41" s="1"/>
  <c r="AB15" i="41"/>
  <c r="H15" i="41" s="1"/>
  <c r="AB20" i="41"/>
  <c r="H20" i="41" s="1"/>
  <c r="AB26" i="41"/>
  <c r="H26" i="41" s="1"/>
  <c r="AB34" i="41"/>
  <c r="H34" i="41" s="1"/>
  <c r="AB63" i="41"/>
  <c r="H63" i="41" s="1"/>
  <c r="AB33" i="41"/>
  <c r="H33" i="41" s="1"/>
  <c r="AB45" i="41"/>
  <c r="H45" i="41" s="1"/>
  <c r="AB37" i="41"/>
  <c r="H37" i="41" s="1"/>
  <c r="AB42" i="41"/>
  <c r="H42" i="41" s="1"/>
  <c r="AB50" i="41"/>
  <c r="H50" i="41" s="1"/>
  <c r="AB56" i="41"/>
  <c r="H56" i="41" s="1"/>
  <c r="AB62" i="41"/>
  <c r="H62" i="41" s="1"/>
  <c r="AB79" i="41"/>
  <c r="H79" i="41" s="1"/>
  <c r="AB87" i="41"/>
  <c r="H87" i="41" s="1"/>
  <c r="AB100" i="41"/>
  <c r="H100" i="41" s="1"/>
  <c r="AB96" i="41"/>
  <c r="H96" i="41" s="1"/>
  <c r="AB113" i="41"/>
  <c r="H113" i="41" s="1"/>
  <c r="AB107" i="41"/>
  <c r="H107" i="41" s="1"/>
  <c r="AB110" i="41"/>
  <c r="H110" i="41" s="1"/>
  <c r="AB16" i="41"/>
  <c r="H16" i="41" s="1"/>
  <c r="AB22" i="41"/>
  <c r="H22" i="41" s="1"/>
  <c r="AB27" i="41"/>
  <c r="H27" i="41" s="1"/>
  <c r="AB36" i="41"/>
  <c r="H36" i="41" s="1"/>
  <c r="AB71" i="41"/>
  <c r="H71" i="41" s="1"/>
  <c r="AB38" i="41"/>
  <c r="H38" i="41" s="1"/>
  <c r="AB44" i="41"/>
  <c r="H44" i="41" s="1"/>
  <c r="AB58" i="41"/>
  <c r="H58" i="41" s="1"/>
  <c r="AB81" i="41"/>
  <c r="H81" i="41" s="1"/>
  <c r="AB78" i="41"/>
  <c r="H78" i="41" s="1"/>
  <c r="AB89" i="41"/>
  <c r="H89" i="41" s="1"/>
  <c r="AB99" i="41"/>
  <c r="H99" i="41" s="1"/>
  <c r="AB92" i="41"/>
  <c r="H92" i="41" s="1"/>
  <c r="AB109" i="41"/>
  <c r="H109" i="41" s="1"/>
  <c r="AB111" i="41"/>
  <c r="H111" i="41" s="1"/>
  <c r="AB119" i="41"/>
  <c r="H119" i="41" s="1"/>
  <c r="DB292" i="41" l="1"/>
  <c r="F7" i="46" s="1"/>
  <c r="DC294" i="41"/>
  <c r="H26" i="45" s="1"/>
  <c r="DC292" i="41"/>
  <c r="G7" i="46" s="1"/>
  <c r="DD294" i="41"/>
  <c r="I26" i="45" s="1"/>
  <c r="DA294" i="41"/>
  <c r="F26" i="45" s="1"/>
  <c r="T51" i="46"/>
  <c r="DD292" i="41"/>
  <c r="H7" i="46" s="1"/>
  <c r="S51" i="46"/>
  <c r="DB294" i="41"/>
  <c r="G26" i="45" s="1"/>
  <c r="R51" i="46"/>
  <c r="DA292" i="41"/>
  <c r="E7" i="46" s="1"/>
  <c r="Q51" i="46"/>
  <c r="J25" i="45"/>
  <c r="H294" i="41"/>
  <c r="J26" i="45" l="1"/>
  <c r="D24" i="47"/>
  <c r="D28" i="47"/>
  <c r="D13" i="47"/>
  <c r="D15" i="47"/>
  <c r="D16" i="47" s="1"/>
  <c r="D30" i="47" l="1"/>
  <c r="D31" i="47" s="1"/>
</calcChain>
</file>

<file path=xl/sharedStrings.xml><?xml version="1.0" encoding="utf-8"?>
<sst xmlns="http://schemas.openxmlformats.org/spreadsheetml/2006/main" count="4646" uniqueCount="556">
  <si>
    <t>Unit Cost</t>
  </si>
  <si>
    <t>Unit</t>
  </si>
  <si>
    <t>LS</t>
  </si>
  <si>
    <t>Subtotal</t>
  </si>
  <si>
    <t>Components</t>
  </si>
  <si>
    <t>Quantity</t>
  </si>
  <si>
    <t>Overhead and Profit</t>
  </si>
  <si>
    <t>Town of Orleans, MA</t>
  </si>
  <si>
    <t>FY 2016 Water Quality and Wastewater Planning</t>
  </si>
  <si>
    <t>Remarks/Notes</t>
  </si>
  <si>
    <t>Extended Total</t>
  </si>
  <si>
    <t/>
  </si>
  <si>
    <t>Mobilization and Demobilization</t>
  </si>
  <si>
    <t>Contingency</t>
  </si>
  <si>
    <t>Town Administration and Engineering</t>
  </si>
  <si>
    <t>Floating Constructed Wetlands</t>
  </si>
  <si>
    <t>Estimated Annual Monitoring Costs</t>
  </si>
  <si>
    <t>Estimated Annual Operation and Maintenance Costs</t>
  </si>
  <si>
    <t>Total Estimated Annual Operation and Maintenance Costs</t>
  </si>
  <si>
    <t>Total Estimated Project Cost</t>
  </si>
  <si>
    <t>Estimated Cost Assumptions</t>
  </si>
  <si>
    <t>L.F.</t>
  </si>
  <si>
    <t>C.Y.</t>
  </si>
  <si>
    <t>Acre</t>
  </si>
  <si>
    <t>S.F.</t>
  </si>
  <si>
    <t>Description</t>
  </si>
  <si>
    <t>Linear Foot</t>
  </si>
  <si>
    <t>Cubic Yard</t>
  </si>
  <si>
    <t>Square Foot</t>
  </si>
  <si>
    <t>Ac.</t>
  </si>
  <si>
    <t>"Unit" Lookup Table</t>
  </si>
  <si>
    <t>L.S.</t>
  </si>
  <si>
    <t>Lump Sum</t>
  </si>
  <si>
    <t>Allowance</t>
  </si>
  <si>
    <t>Allow.</t>
  </si>
  <si>
    <t>Engineering News Record (ENR)</t>
  </si>
  <si>
    <t>Construction Total</t>
  </si>
  <si>
    <t>Total Estimated Annual Monitoring Costs</t>
  </si>
  <si>
    <t>Permeable Reactive Barriers</t>
  </si>
  <si>
    <t>Aquaculture/Shellfish Propagation</t>
  </si>
  <si>
    <t>Wastewater Treatment Facility - Meetinghouse Pond (223 Beach Road)</t>
  </si>
  <si>
    <t xml:space="preserve">Collection System - Downtown Area </t>
  </si>
  <si>
    <t>Collection System - Meetinghouse Pond</t>
  </si>
  <si>
    <t>Downtown Area</t>
  </si>
  <si>
    <t>Meetinghouse Pond Area</t>
  </si>
  <si>
    <t>Non-Traditional Technologies</t>
  </si>
  <si>
    <t>Totals</t>
  </si>
  <si>
    <t>Hrs.</t>
  </si>
  <si>
    <t>Hours</t>
  </si>
  <si>
    <t>Each</t>
  </si>
  <si>
    <t>V.F.</t>
  </si>
  <si>
    <t>Week</t>
  </si>
  <si>
    <t>Vertical Foot</t>
  </si>
  <si>
    <t>Annual Monitoring Cost</t>
  </si>
  <si>
    <t>Annual
O&amp;M Cost</t>
  </si>
  <si>
    <t>Wk.</t>
  </si>
  <si>
    <t>Ea.</t>
  </si>
  <si>
    <t>Estimated Replacement Costs</t>
  </si>
  <si>
    <t>Total Estimated Replacement Cost</t>
  </si>
  <si>
    <t>Engineering - Design</t>
  </si>
  <si>
    <t>Engineering - Construction</t>
  </si>
  <si>
    <t>Engineering - Planning/Consultation</t>
  </si>
  <si>
    <t>Town Administration</t>
  </si>
  <si>
    <t>Replacement Cost</t>
  </si>
  <si>
    <t>Effluent Disposal - Meetinghouse Pond (223 Beach Road)</t>
  </si>
  <si>
    <t>Sample</t>
  </si>
  <si>
    <t>Floating Constructed Wetlands - Site 2</t>
  </si>
  <si>
    <t>Floating Constructed Wetlands - Site 3</t>
  </si>
  <si>
    <t>Floating Constructed Wetlands - Site 4</t>
  </si>
  <si>
    <t>Floating Constructed Wetlands - Site 5</t>
  </si>
  <si>
    <t>Permeable Reactive Barriers - Site 1</t>
  </si>
  <si>
    <t>Permeable Reactive Barriers - Site 2</t>
  </si>
  <si>
    <t>Permeable Reactive Barriers - Site 3</t>
  </si>
  <si>
    <t>Permeable Reactive Barriers - Site 4</t>
  </si>
  <si>
    <t>Permeable Reactive Barriers - Site 5</t>
  </si>
  <si>
    <t>Days</t>
  </si>
  <si>
    <t>Gravity Sewer</t>
  </si>
  <si>
    <t>Force Main</t>
  </si>
  <si>
    <t>Low Pressure Sewer</t>
  </si>
  <si>
    <t>Vacuum Sewer</t>
  </si>
  <si>
    <t>Submersible Pump Station</t>
  </si>
  <si>
    <t>Wet Pit /Dry Pit Pump Station</t>
  </si>
  <si>
    <t>Custom Pump Station</t>
  </si>
  <si>
    <t>Vacuum Pump Station</t>
  </si>
  <si>
    <t>Low Pressure Sewer Pumps</t>
  </si>
  <si>
    <t>Collection System Unit Costs</t>
  </si>
  <si>
    <t>STEP Force Main</t>
  </si>
  <si>
    <t>STEG Sewer</t>
  </si>
  <si>
    <t>GS</t>
  </si>
  <si>
    <t>VS</t>
  </si>
  <si>
    <t>LPS</t>
  </si>
  <si>
    <t>STEG</t>
  </si>
  <si>
    <t>STEP</t>
  </si>
  <si>
    <t>Total</t>
  </si>
  <si>
    <t>Gravity Sewer - Private Property</t>
  </si>
  <si>
    <t>Low Pressure Sewer - Private Property</t>
  </si>
  <si>
    <t>Vacuum Sewer - Private Property</t>
  </si>
  <si>
    <t>STEP - Private Property</t>
  </si>
  <si>
    <t>STEG - Private Property</t>
  </si>
  <si>
    <t>Lookup Table</t>
  </si>
  <si>
    <t>FCW Module - Manufacturing and Shipping</t>
  </si>
  <si>
    <t>Dataloggers</t>
  </si>
  <si>
    <t>QA/QC</t>
  </si>
  <si>
    <t>Sondes for DO/chlorophyll a</t>
  </si>
  <si>
    <t>Denitrification and PON cycling study</t>
  </si>
  <si>
    <t>Report</t>
  </si>
  <si>
    <t>Samples</t>
  </si>
  <si>
    <t>Labor - Shellfish Technician</t>
  </si>
  <si>
    <t>Labor - Shellfish Assistant</t>
  </si>
  <si>
    <t>Oyster remote set</t>
  </si>
  <si>
    <t>Miscellaneous Supplies</t>
  </si>
  <si>
    <t>Large (1") oyster seed</t>
  </si>
  <si>
    <t>4 months at $1,000/month x 2 sondes</t>
  </si>
  <si>
    <t>Monitoring Well Drilling and Installation</t>
  </si>
  <si>
    <t>Baseline Monitoring Well Sampling</t>
  </si>
  <si>
    <t>UIC Permit</t>
  </si>
  <si>
    <t>PRB Demonstration Test Injections</t>
  </si>
  <si>
    <t>Emulsified Vegetable Oil (EVO)</t>
  </si>
  <si>
    <t>Gal.</t>
  </si>
  <si>
    <t>Additional Engineer Field Activities</t>
  </si>
  <si>
    <t>Survey</t>
  </si>
  <si>
    <t xml:space="preserve"> Cost per monitoring well.  Includes drilling contractor labor, materials, vacuum pre-clearing, and engineering oversight </t>
  </si>
  <si>
    <t xml:space="preserve"> Cost Per Monitoring Well (sampling labor, equipment, and laboratory analyses) </t>
  </si>
  <si>
    <t xml:space="preserve"> MassDEP permit fees plus engineering labor to complete permit </t>
  </si>
  <si>
    <t xml:space="preserve"> Includes injection labor and equipment, water, oversight (without EVO) </t>
  </si>
  <si>
    <t xml:space="preserve"> Totes of 260 gal. of 60% EVO; Quote from Terra Systems January 2016 </t>
  </si>
  <si>
    <t xml:space="preserve"> Labor for markout and data collection; Includes vehicle costs </t>
  </si>
  <si>
    <t xml:space="preserve"> Survey for new monitoring wells and injection points </t>
  </si>
  <si>
    <t>Sampling</t>
  </si>
  <si>
    <t>Quarterly Monitoring Reports</t>
  </si>
  <si>
    <t>Annual Monitoring Report</t>
  </si>
  <si>
    <t>Annual cost per well for quarterly sampling; includes equipment (YSI, pump, water level, turbidity meter), sampling staff, and laboratory analyses</t>
  </si>
  <si>
    <t>Cost per monitoring well.  Includes drilling contractor labor, materials, vacuum pre-clearing, and engineering oversight</t>
  </si>
  <si>
    <t>Cost Per Monitoring Well (sampling labor, equipment, and laboratory analyses)</t>
  </si>
  <si>
    <t>MassDEP permit fees plus engineering labor to complete permit</t>
  </si>
  <si>
    <t>Includes injection labor and equipment, water, oversight (without EVO)</t>
  </si>
  <si>
    <t>Totes of 260 gal. of 60% EVO; Quote from Terra Systems January 2016</t>
  </si>
  <si>
    <t>Labor for markout and data collection; Includes vehicle costs</t>
  </si>
  <si>
    <t>Survey for new monitoring wells and injection points</t>
  </si>
  <si>
    <t>Feb. 2016</t>
  </si>
  <si>
    <t>No replacement costs over 20 year planning period</t>
  </si>
  <si>
    <t>Volatile Organic Compounds</t>
  </si>
  <si>
    <t>Static Water Level; Specific Conductance: pH; Total Nitrogen (NO2+NO3+TKN); Nitrate Nitrogen; Total Phosphorous; and Orthophosphate</t>
  </si>
  <si>
    <t>Flow; and pH</t>
  </si>
  <si>
    <t>TSS; and BOD</t>
  </si>
  <si>
    <t>Oil and Grease; Total Nitrogen (NO2+NO3+TKN); Nitrate Nitrogen; Total Phosphorous; and Orthophosphate</t>
  </si>
  <si>
    <t>Total Phosphorous; and Orthophosphate;  and Volatile Organic Compounds</t>
  </si>
  <si>
    <t>Allowance for Miscellaneous Maintenance</t>
  </si>
  <si>
    <t>Analysis per GWDP - Daily</t>
  </si>
  <si>
    <t>Analysis per GWDP - Weekly</t>
  </si>
  <si>
    <t>Analysis per GWDP - Monthly</t>
  </si>
  <si>
    <t>Analysis per GWDP - Quarterly</t>
  </si>
  <si>
    <t>Sampling per GWDP - Daily</t>
  </si>
  <si>
    <t>Sampling per GWDP - Monthly</t>
  </si>
  <si>
    <t>Sampling per GWDP - Weekly</t>
  </si>
  <si>
    <t>Sampling per GWDP - Quarterly</t>
  </si>
  <si>
    <t>Sampling per GWDP - Quarterly (6 wells)</t>
  </si>
  <si>
    <t>Sampling per GWDP - Annually (6 wells)</t>
  </si>
  <si>
    <t>Analysis per GWDP - Annually (6 wells)</t>
  </si>
  <si>
    <t>Analysis per GWDP - Quarterly (6 wells)</t>
  </si>
  <si>
    <t>Miscellaneous Coordination, Calibration, etc.</t>
  </si>
  <si>
    <t>Operations</t>
  </si>
  <si>
    <t>Utilities, Chemicals, etc.</t>
  </si>
  <si>
    <t>Based on Fruit Street WWTF As-Bid Costs</t>
  </si>
  <si>
    <t>Effluent Disposal - Subsuface</t>
  </si>
  <si>
    <t>No O&amp;M Costs anticipated during Demo Period.</t>
  </si>
  <si>
    <t>Cost included for repair/replacement of monitoring wells that may be damaged due to proximity to road over monitoring period of the Demonstration Test</t>
  </si>
  <si>
    <t>40 hours per quarterly report (3)</t>
  </si>
  <si>
    <t>Assume monitoring for three years associated with PRB Demonstration test</t>
  </si>
  <si>
    <t>Clean and TV</t>
  </si>
  <si>
    <t>25% of System per Year</t>
  </si>
  <si>
    <t>EA.</t>
  </si>
  <si>
    <t>Pumping Stations</t>
  </si>
  <si>
    <t>Low Pressure Sewer Pump Replacement</t>
  </si>
  <si>
    <t>Waterfowl Fencing</t>
  </si>
  <si>
    <t>Seasonal Site Review and Maintenance</t>
  </si>
  <si>
    <t>Annual Cost - to occur each spring and fall</t>
  </si>
  <si>
    <t>Plantings</t>
  </si>
  <si>
    <t>Based on E-One Data</t>
  </si>
  <si>
    <t>Amount to be Financed</t>
  </si>
  <si>
    <t>Pumping Costs (per septic system)</t>
  </si>
  <si>
    <t>Total Costs (per septic system)</t>
  </si>
  <si>
    <t>Total Septic Impact Fee</t>
  </si>
  <si>
    <t>Years</t>
  </si>
  <si>
    <t>Annual Septic Impact Fee</t>
  </si>
  <si>
    <t>Annual Cost Per Septic System</t>
  </si>
  <si>
    <t>Notes:</t>
  </si>
  <si>
    <t>Inspection and Monitoring Costs (per septic system)</t>
  </si>
  <si>
    <t>On-Site System in Use</t>
  </si>
  <si>
    <t>The calculations presented here were used for the financial model created for the Cape Cod Commission (CCC) as part of the 208 Plan Update by AECOM Technical Services, Inc. and The Abrahams Group.  The septic systems and properties numbers have been updated to reflect the properties in Orleans, MA.  See below.</t>
  </si>
  <si>
    <r>
      <rPr>
        <b/>
        <sz val="11"/>
        <color theme="1"/>
        <rFont val="Calibri"/>
        <family val="2"/>
        <scheme val="minor"/>
      </rPr>
      <t xml:space="preserve">Replacement Costs - </t>
    </r>
    <r>
      <rPr>
        <sz val="11"/>
        <rFont val="Calibri"/>
        <family val="2"/>
        <scheme val="minor"/>
      </rPr>
      <t>T</t>
    </r>
    <r>
      <rPr>
        <sz val="11"/>
        <color theme="1"/>
        <rFont val="Calibri"/>
        <family val="2"/>
        <scheme val="minor"/>
      </rPr>
      <t xml:space="preserve">he assumptions used for CCC </t>
    </r>
    <r>
      <rPr>
        <sz val="11"/>
        <rFont val="Calibri"/>
        <family val="2"/>
        <scheme val="minor"/>
      </rPr>
      <t>were that each replacement would cost an average of $13,000 based on Cape-Wide information provided by the CCC.  The estimated replacement cost in Orleans has been estimated at $20,000.  Costs in this calculation can be zeroed out to represent the continuation of the owners' responsibility to pay for replacements on their own.</t>
    </r>
  </si>
  <si>
    <t>Replacement Cost (per septic system)</t>
  </si>
  <si>
    <t>Inspection and Monitoring Cost (per septic system)</t>
  </si>
  <si>
    <t>Input Table</t>
  </si>
  <si>
    <t>Pump-out Cycle</t>
  </si>
  <si>
    <t>Number of Years</t>
  </si>
  <si>
    <r>
      <rPr>
        <b/>
        <sz val="11"/>
        <color theme="1"/>
        <rFont val="Calibri"/>
        <family val="2"/>
        <scheme val="minor"/>
      </rPr>
      <t xml:space="preserve">Contingency - </t>
    </r>
    <r>
      <rPr>
        <sz val="11"/>
        <color theme="1"/>
        <rFont val="Calibri"/>
        <family val="2"/>
        <scheme val="minor"/>
      </rPr>
      <t>Based on a percentage of Inspection and Monitoring Costs and Pump-out Costs.</t>
    </r>
  </si>
  <si>
    <t>Number of On-Site Systems in Use</t>
  </si>
  <si>
    <t>per On-Site System</t>
  </si>
  <si>
    <t>Cost includes the repair/replacement of monitoring wells that may be damaged due to proximity to road.</t>
  </si>
  <si>
    <t>Cost per monitoring well.  Includes drilling contractor labor, materials, vacuum pre-clearing, and engineering oversight.</t>
  </si>
  <si>
    <t>No O&amp;M Costs anticipated.</t>
  </si>
  <si>
    <t>Component</t>
  </si>
  <si>
    <t>Replacement</t>
  </si>
  <si>
    <t>Present Value</t>
  </si>
  <si>
    <t>Private Property - Pumps/Valves</t>
  </si>
  <si>
    <t>Annual Operation and Maintenance Cost</t>
  </si>
  <si>
    <t>Annual Monitoring Costs</t>
  </si>
  <si>
    <t>Annual Replacement Costs</t>
  </si>
  <si>
    <t>Total Estimated Annual Cost</t>
  </si>
  <si>
    <t>Estimated Present Value</t>
  </si>
  <si>
    <t>On-Site System Pump Out</t>
  </si>
  <si>
    <r>
      <rPr>
        <b/>
        <sz val="11"/>
        <color theme="1"/>
        <rFont val="Calibri"/>
        <family val="2"/>
        <scheme val="minor"/>
      </rPr>
      <t>Pumping Costs</t>
    </r>
    <r>
      <rPr>
        <sz val="11"/>
        <color theme="1"/>
        <rFont val="Calibri"/>
        <family val="2"/>
        <scheme val="minor"/>
      </rPr>
      <t xml:space="preserve"> - On average, a system should be pump-out, including inspection, every three years.  The cost for each pump-out is estimated to be between $200 and $400.  </t>
    </r>
  </si>
  <si>
    <r>
      <rPr>
        <b/>
        <sz val="11"/>
        <color theme="1"/>
        <rFont val="Calibri"/>
        <family val="2"/>
        <scheme val="minor"/>
      </rPr>
      <t xml:space="preserve">Inspection and Monitoring Costs - </t>
    </r>
    <r>
      <rPr>
        <sz val="11"/>
        <color theme="1"/>
        <rFont val="Calibri"/>
        <family val="2"/>
        <scheme val="minor"/>
      </rPr>
      <t>Administration of inspection and monitoring costs have been estimated at 1 hour per year per system.</t>
    </r>
  </si>
  <si>
    <t>Estimated Program Phasing</t>
  </si>
  <si>
    <t>Phase 1</t>
  </si>
  <si>
    <t>Phase 2</t>
  </si>
  <si>
    <t>Phase 3</t>
  </si>
  <si>
    <t>Estimated Costs - February 2016</t>
  </si>
  <si>
    <t>Inflation Rate</t>
  </si>
  <si>
    <t>Design</t>
  </si>
  <si>
    <t>Phase 4</t>
  </si>
  <si>
    <t>Wastewater Treatment Facility - Downtown Area (Overland Way)</t>
  </si>
  <si>
    <t>Effluent Disposal - Downtown Area (Overland Way - Parcel 1/1A)</t>
  </si>
  <si>
    <t>Traditional Technologies</t>
  </si>
  <si>
    <t>Implementation Year</t>
  </si>
  <si>
    <t>Included in O&amp;M Staffing</t>
  </si>
  <si>
    <t>Hybrid (GS and LPS)</t>
  </si>
  <si>
    <t>Hybrid (GS and STEP)
25% Tank Replacement</t>
  </si>
  <si>
    <t>Hybrid (GS and STEP)
50% Tank Replacement</t>
  </si>
  <si>
    <t>Hybrid (GS and STEP)
75% Tank Replacement</t>
  </si>
  <si>
    <t>Hybrid (GS and STEP)
100% Tank Replacement</t>
  </si>
  <si>
    <t>75 LF at $100/lf plus $2,500 System Abandonment/Site Restoration</t>
  </si>
  <si>
    <t>75 LF at $75/lf plus $2,500 System Abandonment/Site Restoration plus $5,000 for valve vault</t>
  </si>
  <si>
    <t>Based on Marion, MA Bid Costs</t>
  </si>
  <si>
    <t>75 LF at $75/lf plus $2,500 System Abandonment/Site Restoration plus $2,500 for existing tank pumpout/cleaning/testing plus $3,500 ($2,500 for pump and $1,000 for new septic tank/pump with 25% tank replacment)</t>
  </si>
  <si>
    <t>Allowance - Pump Stations</t>
  </si>
  <si>
    <t>Collection System Comparison for Downtown Area</t>
  </si>
  <si>
    <t>Collection System Comparison for Meetinghouse Pond Area</t>
  </si>
  <si>
    <t>Land Purchase per Acre</t>
  </si>
  <si>
    <t>Hybrid System</t>
  </si>
  <si>
    <t>Single System</t>
  </si>
  <si>
    <t>Difference</t>
  </si>
  <si>
    <t>Monthly Field Visits</t>
  </si>
  <si>
    <t>Water Quality Samples</t>
  </si>
  <si>
    <t>Download &amp; Analysis of Dataloggers</t>
  </si>
  <si>
    <t>Biomass Sampling &amp; Analysis</t>
  </si>
  <si>
    <t>Assume 2 people, $100/hour, two 8-hour days</t>
  </si>
  <si>
    <t>Assumes 4 samples each month</t>
  </si>
  <si>
    <t>Assumes one on each side of 2 islands</t>
  </si>
  <si>
    <t>Based on sampling performed for Baltimore Harbor</t>
  </si>
  <si>
    <t>Site review and replanting</t>
  </si>
  <si>
    <t>FCW Module - Installation</t>
  </si>
  <si>
    <t>Anchors &amp; Mooring Ropes - Purchase and Shipping</t>
  </si>
  <si>
    <t>Anchor &amp; Mooring Ropes - Install</t>
  </si>
  <si>
    <t>Plants - purchase and shipping</t>
  </si>
  <si>
    <t>Plants - staging and install</t>
  </si>
  <si>
    <t>Freight</t>
  </si>
  <si>
    <t>As quoted by Floating Wetland Solutions, February 2016</t>
  </si>
  <si>
    <t>Assumes four anchors &amp; ropes per island, 2 islands</t>
  </si>
  <si>
    <t>Based on labor provided for NYC project, August 2015</t>
  </si>
  <si>
    <t>Assumes local nursery with multiple shipping</t>
  </si>
  <si>
    <t>2" plugs (one per sq. ft.)</t>
  </si>
  <si>
    <t>10 truckloads</t>
  </si>
  <si>
    <t>Assumes stringing and plastic fencing for 16,250 lf/island</t>
  </si>
  <si>
    <t>FCW Demo based on 0.7 Acre.  Full Scale based on 5 acres.</t>
  </si>
  <si>
    <t>Includes Land Purchase</t>
  </si>
  <si>
    <t>Includes land Purchase</t>
  </si>
  <si>
    <t>Program Management</t>
  </si>
  <si>
    <t>Adaptive Management Implementation</t>
  </si>
  <si>
    <t>Construction, O&amp;M and Monitoring</t>
  </si>
  <si>
    <t>Design at 25%</t>
  </si>
  <si>
    <t>Year</t>
  </si>
  <si>
    <t>Interest Rate</t>
  </si>
  <si>
    <t>`</t>
  </si>
  <si>
    <t>Water Quality and Wastewater Planning</t>
  </si>
  <si>
    <t>Capital Cost</t>
  </si>
  <si>
    <t>Capital
Cost</t>
  </si>
  <si>
    <t>Estimated Capital Costs</t>
  </si>
  <si>
    <t>Program Cost Expenditures Over 20-Years</t>
  </si>
  <si>
    <t>Estimated Program Costs</t>
  </si>
  <si>
    <t>Annual O&amp;M Cost</t>
  </si>
  <si>
    <t>Clean and TV - GS</t>
  </si>
  <si>
    <t>Clean and TV - Pressure Pipes</t>
  </si>
  <si>
    <t>Orleans Septage Facility Cost/Revenue</t>
  </si>
  <si>
    <t>Annual cost</t>
  </si>
  <si>
    <t xml:space="preserve"> gallons per year</t>
  </si>
  <si>
    <t>Lower/Outer Cape Cost Comparison</t>
  </si>
  <si>
    <t xml:space="preserve"> Assumes current average residential/commercial cost</t>
  </si>
  <si>
    <t xml:space="preserve"> Off-cape would be substantially higher</t>
  </si>
  <si>
    <t>FY17</t>
  </si>
  <si>
    <t>FY18</t>
  </si>
  <si>
    <t>FY19</t>
  </si>
  <si>
    <t>FY20</t>
  </si>
  <si>
    <t>FY21</t>
  </si>
  <si>
    <t>FY22</t>
  </si>
  <si>
    <t>FY23</t>
  </si>
  <si>
    <t>FY24</t>
  </si>
  <si>
    <t>FY25</t>
  </si>
  <si>
    <t>FY26</t>
  </si>
  <si>
    <t>FY27</t>
  </si>
  <si>
    <t>FY28</t>
  </si>
  <si>
    <t>FY29</t>
  </si>
  <si>
    <t>FY30</t>
  </si>
  <si>
    <t>FY31</t>
  </si>
  <si>
    <t>FY32</t>
  </si>
  <si>
    <t>FY33</t>
  </si>
  <si>
    <t>FY34</t>
  </si>
  <si>
    <t>FY35</t>
  </si>
  <si>
    <t>FY36</t>
  </si>
  <si>
    <t>Draft for Discussion</t>
  </si>
  <si>
    <t>FY 2016</t>
  </si>
  <si>
    <t>FY 2017</t>
  </si>
  <si>
    <t>FY 2018</t>
  </si>
  <si>
    <t>FY 2019</t>
  </si>
  <si>
    <t>FY 2020</t>
  </si>
  <si>
    <t>FY 2021</t>
  </si>
  <si>
    <t>Task</t>
  </si>
  <si>
    <t>Task Description</t>
  </si>
  <si>
    <t>Other Direct Costs</t>
  </si>
  <si>
    <t>Total Budget</t>
  </si>
  <si>
    <t>Comments &amp; Assumptions</t>
  </si>
  <si>
    <t>Construction or Labor Budget</t>
  </si>
  <si>
    <t>Continued Planning and Engineering</t>
  </si>
  <si>
    <t>1.a</t>
  </si>
  <si>
    <t>1.b</t>
  </si>
  <si>
    <t>Assumes project management, planning &amp; permitting of two NT demonstration projects in 2015 (regulatory requirements uncertain); Predesign and permitting of one PRB demonstration project; ODC's for hydrogeologic services for PRB planning; Specialty consultants for PRBs, aquaculture; CHR, FCW; General regulatory coordination in 1.f.</t>
  </si>
  <si>
    <t>1.c</t>
  </si>
  <si>
    <t>TT collection system studies and layouts; TT plant conceptual design; Reuse options feasibility; project-specific surveying;  Design in FY 2017; Meetinghouse Design in FY 2020</t>
  </si>
  <si>
    <t>1.d</t>
  </si>
  <si>
    <t>Assumes TT SPF not demolished until new WWTF constructed in 2020..</t>
  </si>
  <si>
    <t>1.e</t>
  </si>
  <si>
    <t xml:space="preserve">Conclude options evaluation; Coordination with Eastham &amp; Brewster; Demolition design procurement planning ($33,000) authorized but not used; </t>
  </si>
  <si>
    <t>1.f</t>
  </si>
  <si>
    <t>Regulatory Coordination</t>
  </si>
  <si>
    <t xml:space="preserve">Project level coordination with DEP, CCC. MEPA, Natural Heritage, DMF &amp; others; </t>
  </si>
  <si>
    <t>1.g</t>
  </si>
  <si>
    <t>Meetinghouse Pond Utility Survey</t>
  </si>
  <si>
    <t>Survey to be included in Meetinghouse Pond predesign work in FY 2019</t>
  </si>
  <si>
    <t>1.h</t>
  </si>
  <si>
    <t xml:space="preserve">Update of Amended CWMP </t>
  </si>
  <si>
    <t>Update of ACWMP for CCC, DEP, MEPA approval</t>
  </si>
  <si>
    <t xml:space="preserve">Sub-Total: </t>
  </si>
  <si>
    <t>2.a</t>
  </si>
  <si>
    <t>Water Quality Monitoring: MEP compliance</t>
  </si>
  <si>
    <t xml:space="preserve">Allowance for 1st year of monitoring to support MEP model reruns; </t>
  </si>
  <si>
    <t>2.b</t>
  </si>
  <si>
    <t xml:space="preserve">Water Quality Monitoring: Project Baselines </t>
  </si>
  <si>
    <t>Establish monitoring requirements; Baseline monitoring for three projects for 1/2 year assumed;   Projects to be determined</t>
  </si>
  <si>
    <t>2.c</t>
  </si>
  <si>
    <t>MEP Study &amp; Report Updates</t>
  </si>
  <si>
    <t>2.d</t>
  </si>
  <si>
    <t>Namskaket &amp; Little Namskaket Adaptive Plans</t>
  </si>
  <si>
    <t>FY 2017 Task</t>
  </si>
  <si>
    <t>2.e</t>
  </si>
  <si>
    <t>Stormwater &amp; Fertilizer Management</t>
  </si>
  <si>
    <t xml:space="preserve">Work with Town and stormwater consultant to integrate stormwater project planning by others into CWMP Amendment plan for stormwater credit </t>
  </si>
  <si>
    <t>Allowance for stormwater management coordination with CWMP Amendment.</t>
  </si>
  <si>
    <t>2.f</t>
  </si>
  <si>
    <t>No activities required: UAA planning and studies in FY2017 2018</t>
  </si>
  <si>
    <t xml:space="preserve">Initial field work and studies for UAA feasibility determination. </t>
  </si>
  <si>
    <t>3.a</t>
  </si>
  <si>
    <t>Technical Oversight &amp; Projects Management</t>
  </si>
  <si>
    <t xml:space="preserve">Contract procurement and management; engineering management; NT project management; Funding (SRF, demonstration project and other) coordination; Coordination with BOS, town departments and stakeholder groups </t>
  </si>
  <si>
    <t>3.b</t>
  </si>
  <si>
    <t>Public Engagement Coordination</t>
  </si>
  <si>
    <t>3.c</t>
  </si>
  <si>
    <t xml:space="preserve">Financial Modeling and Analyses </t>
  </si>
  <si>
    <t>User rates options evaluation; Affordability evaluations; debt management options; funding assistance</t>
  </si>
  <si>
    <t>3.d</t>
  </si>
  <si>
    <t xml:space="preserve">Total Budget: </t>
  </si>
  <si>
    <t>Miscellaneous</t>
  </si>
  <si>
    <t>Subtotals</t>
  </si>
  <si>
    <t>Non-Traditional Technologies Cost Expenditures Over 20-Years</t>
  </si>
  <si>
    <t>Traditional Technologies Cost Expenditures Over 20-Years</t>
  </si>
  <si>
    <t>Other Program Components</t>
  </si>
  <si>
    <t>Other Program Components Cost Expenditures Over 20-Years</t>
  </si>
  <si>
    <t>Allowance for development of WQ monitoring program to support MEP remodeling in 2020; Initiate 1st year of field water quality monitoring support.   Re-modeling to occur in 2019 with 3-years of data collection completed</t>
  </si>
  <si>
    <t>Amended CWMP review coordination &amp; response; overall program coordination with CCC, DEP, MEPA.</t>
  </si>
  <si>
    <t>Assume three sites required for TT discharge and MHP treatment &amp; discharge; ODC's for hydrogeologic services for disposal sites, including loading tests; 1st priority will be on TT disposal site and Hubler property; No land acquisition costs in FY16.</t>
  </si>
  <si>
    <t>Initial field work and studies for UAA feasibility determination.</t>
  </si>
  <si>
    <t>Continued overall program regulatory review and approval coordination.</t>
  </si>
  <si>
    <t>Update of financial model and plan.</t>
  </si>
  <si>
    <t>Assume full time project/program manager hired by Town.</t>
  </si>
  <si>
    <t>Allowance for continuing watershed protection actions.</t>
  </si>
  <si>
    <t>Rock Harbor Creek and miscellaneous MEP studies.</t>
  </si>
  <si>
    <t>Allowance for 2nd year of monitoring to support MEP model reruns.</t>
  </si>
  <si>
    <t>MEP Reanalysis for Pleasant Bay.</t>
  </si>
  <si>
    <t>Assume full time program or project manager hired by Town.</t>
  </si>
  <si>
    <t>Preliminary scope and discussions with DEP to plan Use Attainability Analyses (UAA).</t>
  </si>
  <si>
    <t>Allowance for stormwater management project coordination with CWMP Amendment.</t>
  </si>
  <si>
    <t>Sanitary survey; culvert hydraulics.</t>
  </si>
  <si>
    <t>Planning and scoping for MEP model reruns; Include external expert.</t>
  </si>
  <si>
    <t>MEP Reanalysis for Nauset System.</t>
  </si>
  <si>
    <t>Cedar Pond - Single EIR</t>
  </si>
  <si>
    <t>Nauset Estuary - Increased Monitoring</t>
  </si>
  <si>
    <t xml:space="preserve"> gallons per day</t>
  </si>
  <si>
    <t>FY23 - Allowance</t>
  </si>
  <si>
    <t>FY24 - Allowance</t>
  </si>
  <si>
    <t>FY25 - Allowance</t>
  </si>
  <si>
    <t>FY26 - Allowance</t>
  </si>
  <si>
    <t>FY27 - Allowance</t>
  </si>
  <si>
    <t>FY28 - Allowance</t>
  </si>
  <si>
    <t>FY29 - Allowance</t>
  </si>
  <si>
    <t>FY30 - Allowance</t>
  </si>
  <si>
    <t>FY31 - Allowance</t>
  </si>
  <si>
    <t>FY32 - Allowance</t>
  </si>
  <si>
    <t>FY33 - Allowance</t>
  </si>
  <si>
    <t>FY34 - Allowance</t>
  </si>
  <si>
    <t>FY35 - Allowance</t>
  </si>
  <si>
    <t>FY36 - Allowance</t>
  </si>
  <si>
    <t>Tri-Town Transition Requirements - Separate Funding Article(s)</t>
  </si>
  <si>
    <t>Design - WWTF, Collection System, Effluent Disposal and NT Technologies</t>
  </si>
  <si>
    <t>Preplanning - Treatment and Disposal Site Investigations (new sites)</t>
  </si>
  <si>
    <t>Construction and Replacement - WWTF, Collection System, Effluent Disposal and NT Technologies</t>
  </si>
  <si>
    <t>Other Direct Costs and Replacement</t>
  </si>
  <si>
    <t>FY 2022</t>
  </si>
  <si>
    <t>Total: 5-Year  Plan
(FY2018-2022)</t>
  </si>
  <si>
    <t>NT Technologies - Demonstration Project Planning &amp; Pre-Design, Final Design and Implementation</t>
  </si>
  <si>
    <t>MBR Modules</t>
  </si>
  <si>
    <t>Five trains full buildout @ $800K/ea, $500K pad and install</t>
  </si>
  <si>
    <t>Storage Tank Rehab w/mixing</t>
  </si>
  <si>
    <t>Assume some relining work may be necessary</t>
  </si>
  <si>
    <t>Intermediate and effluent pumping</t>
  </si>
  <si>
    <t>Admin/sludge Bldg Rehab</t>
  </si>
  <si>
    <t>Septic Receiving Station</t>
  </si>
  <si>
    <t>Pkg at $160K, $50K for install</t>
  </si>
  <si>
    <t>Screw Press</t>
  </si>
  <si>
    <t>Press at $100K, $50K for install</t>
  </si>
  <si>
    <t>Odor Control</t>
  </si>
  <si>
    <t>Plant Water</t>
  </si>
  <si>
    <t>Yard Piping</t>
  </si>
  <si>
    <t>Electrical</t>
  </si>
  <si>
    <t>10% of equipment cost</t>
  </si>
  <si>
    <t>SCADA</t>
  </si>
  <si>
    <t>Three O&amp;M technicians, one half-time admin support.</t>
  </si>
  <si>
    <t>Heat</t>
  </si>
  <si>
    <t>Based on Tri-town heat expense.  Assume similar.</t>
  </si>
  <si>
    <t>Electricity</t>
  </si>
  <si>
    <t>Chems</t>
  </si>
  <si>
    <t>Based on Ptown, plus dewatering polymer</t>
  </si>
  <si>
    <t>Sludge Hauling/Disposal</t>
  </si>
  <si>
    <t>Routine Maintenance</t>
  </si>
  <si>
    <t>General Office Supplies and expenses</t>
  </si>
  <si>
    <t>Based on 2.5% of Replacement Asset Value</t>
  </si>
  <si>
    <t>Two trains full buildout @$800K/ea, $200K pad and install</t>
  </si>
  <si>
    <t>EQ/Sludge Storage Tank</t>
  </si>
  <si>
    <t>Subgrade, 65kgals EQ, 10Kgals sludge (7 days)</t>
  </si>
  <si>
    <t>New Building</t>
  </si>
  <si>
    <t>Site Paving/Fencing</t>
  </si>
  <si>
    <t>Loadout station</t>
  </si>
  <si>
    <t>Assume telemetry to main plant only</t>
  </si>
  <si>
    <t>Assume one O&amp;M technician</t>
  </si>
  <si>
    <t>Sludge Hauling</t>
  </si>
  <si>
    <t>Based on 0.5% of Each P.S. Project Cost per Year</t>
  </si>
  <si>
    <t>Based on 2.5% of Total Number Installed</t>
  </si>
  <si>
    <t>1/2 Operator</t>
  </si>
  <si>
    <t>Alternative 1</t>
  </si>
  <si>
    <t>Alternative 2</t>
  </si>
  <si>
    <t>Downtown Area WWTF - Septage Flow Schematics</t>
  </si>
  <si>
    <t>Septage Facility Proforma</t>
  </si>
  <si>
    <t>Comments</t>
  </si>
  <si>
    <t>Based on Current Tri-Town Septage Treatment Facility Tipping Fee</t>
  </si>
  <si>
    <t>Total Annual Cost</t>
  </si>
  <si>
    <t>Cost per Pump-Out</t>
  </si>
  <si>
    <t>Tri-Town Septage Treatment Facility</t>
  </si>
  <si>
    <t>D/Y or Off-Cape Facility</t>
  </si>
  <si>
    <t xml:space="preserve"> Annualized; Inflation = Interest Rate; No grant or debt forgiveness</t>
  </si>
  <si>
    <t xml:space="preserve"> Assume average tank size = 1200 gal.</t>
  </si>
  <si>
    <t>Net Annual Savings for All Users</t>
  </si>
  <si>
    <t>Net Annual Savings per User</t>
  </si>
  <si>
    <t>Annual Number of Pump-Outs in Service Area</t>
  </si>
  <si>
    <t>Incremental Cost of Septage Processing</t>
  </si>
  <si>
    <t>Incremental Cost of O&amp;M</t>
  </si>
  <si>
    <t>Septage Volume Treated per Year</t>
  </si>
  <si>
    <t>Septage Volume Treated per Day</t>
  </si>
  <si>
    <t>Price per Gallon</t>
  </si>
  <si>
    <t>Septage Revenue per Year</t>
  </si>
  <si>
    <t>Net Septage Revenue</t>
  </si>
  <si>
    <t xml:space="preserve">Cost included for repair/replacement of monitoring wells that may be damaged due to proximity to road </t>
  </si>
  <si>
    <t>Permeable Reactive Barriers - Demonstration 2 (Eldredge Park South Main St. Area)</t>
  </si>
  <si>
    <t>Permeable Reactive Barriers - Demonstration 1 - Landfill Focused Injection Test</t>
  </si>
  <si>
    <t>5% of Initial Plantings</t>
  </si>
  <si>
    <t>Aquaculture/Shellfish Propagation - Demonstration 1 - Terminal Pond Oyster Bed</t>
  </si>
  <si>
    <t>Trays with covers and footings</t>
  </si>
  <si>
    <t>#7 line</t>
  </si>
  <si>
    <t>#8 line</t>
  </si>
  <si>
    <t>Cinder blocks or anchors</t>
  </si>
  <si>
    <t>Chest Waders and gloves</t>
  </si>
  <si>
    <t>Buoys for perimeter marking with anchoring</t>
  </si>
  <si>
    <t>Misc wood supplies</t>
  </si>
  <si>
    <t>Equipment for cutting and assemblling traysr</t>
  </si>
  <si>
    <t>First year viability test</t>
  </si>
  <si>
    <t>Supplied by Shellfish Technician</t>
  </si>
  <si>
    <t>Trays</t>
  </si>
  <si>
    <t>Oyster Remote Set</t>
  </si>
  <si>
    <t>Ttrays for one acre of "off-bottom oyster bed"</t>
  </si>
  <si>
    <t>May want more bags of remote set: if so, need more floating bags or trays</t>
  </si>
  <si>
    <t>No Replacement need.  Full scale implementation: gear replaced in 7 - 10 years.</t>
  </si>
  <si>
    <t>Aquaculture/Shellfish Propagation - Demonstration 2 - Quanset Pond Oyster Bed</t>
  </si>
  <si>
    <t>Boat in estuary</t>
  </si>
  <si>
    <t>Per acre survey cost</t>
  </si>
  <si>
    <t>samples</t>
  </si>
  <si>
    <t>10 stations, surface and bottom; 2X/month June - Sept</t>
  </si>
  <si>
    <t>4 months at $1000/month x 2 sondes</t>
  </si>
  <si>
    <t>Floating gear system every 7 years</t>
  </si>
  <si>
    <t>PLACEHOLDER subject to change based on discussions with growers.  Source for seed: Salt Pond Oyster, RI Dave Roebuck (1.5" are .08 ea); 50% mortality yields 1M oysters</t>
  </si>
  <si>
    <t>Floating bag setup</t>
  </si>
  <si>
    <r>
      <rPr>
        <b/>
        <sz val="10"/>
        <color theme="1"/>
        <rFont val="Arial"/>
        <family val="2"/>
      </rPr>
      <t>PLACEHOLDER subject to change based on discussions with growers</t>
    </r>
    <r>
      <rPr>
        <sz val="10"/>
        <color theme="1"/>
        <rFont val="Arial"/>
        <family val="2"/>
      </rPr>
      <t>; equipment cost based on Aqua 1 demo costs for an UNASSEMBLED floating bag system; assumes 200 oysters/bag for 2nd year grow-out size</t>
    </r>
  </si>
  <si>
    <t>Labor rates do not include INDIRECT costs (employer contributions to insurance, SS, FICA, etc)   Hours based on: May - Nov (30 weeks, 40 hours/week) = 1200 hours</t>
  </si>
  <si>
    <t>Labor rates do not include INDIRECT costs (employer contributions to insurance, SS, FICA, etc)   Hours based on: May - Nov (30 weeks, 30 hours/week) = 900 hours</t>
  </si>
  <si>
    <t>PHASING: First year 500 bag viability test, second year 1500, 3rd year 3000 bags</t>
  </si>
  <si>
    <t>Misc supplies (new waders/gloves, rope, cable ties, etc)</t>
  </si>
  <si>
    <t>Floating Constructed Wetlands - Demonstration 2 - Lonnie's Pond</t>
  </si>
  <si>
    <t>Floating Constructed Wetlands - Demonstration 1 - Data Refinement</t>
  </si>
  <si>
    <t>Pond Nutrient Plan</t>
  </si>
  <si>
    <t>Design - 25%</t>
  </si>
  <si>
    <t>Design at 20%</t>
  </si>
  <si>
    <t>Design at 50%</t>
  </si>
  <si>
    <t>None Required.</t>
  </si>
  <si>
    <t>Aquaculture/Shellfish Propagation - Demonstration 2 - Quanset Pond Oyster Bed (2nd Year)</t>
  </si>
  <si>
    <t>Septic Impact Fee</t>
  </si>
  <si>
    <t>Allowance for NT Project performance.</t>
  </si>
  <si>
    <t>Allowance for development of Performance Baseline.</t>
  </si>
  <si>
    <t>● Meetinghouse Pond Area (Collection - Part 1 Design and WWTF Design)</t>
  </si>
  <si>
    <t>● Continued coordination with regulatory agencies on project level.</t>
  </si>
  <si>
    <t>● Meetinghouse Pond Utility Survey</t>
  </si>
  <si>
    <t>● NT Technology Demo Data for Update of ACWMP.</t>
  </si>
  <si>
    <t>● PRB (Site 1 - Design; Site 2 - Design)</t>
  </si>
  <si>
    <t>●Regularity Coordination</t>
  </si>
  <si>
    <t>●NT Technology Demo Data for Update of ACWMP.</t>
  </si>
  <si>
    <t>●Continued coordination with regulatory agencies on project level.</t>
  </si>
  <si>
    <t>●ID and Evaluate up to 1 New Effluent Disposal Site</t>
  </si>
  <si>
    <t>●Downtown Area (Collection - Design; WWTF - Part 1 - Design Effluent Disposal - Design)
●Meetinghouse Pond (Collection - Design 20%)</t>
  </si>
  <si>
    <t xml:space="preserve">●PRB (Demo 2 - Construction) </t>
  </si>
  <si>
    <t>● Downtown Area (Collection - Design 20%; WWTF - Design 25% Design, and Effluent Disposal - Design 25%)
●Meetinghouse Pond (Effluent Disposal - Design 50%)</t>
  </si>
  <si>
    <t>●Project level coordination with DEP, CCC. MEPA, Natural Heritage, DMF &amp; others.</t>
  </si>
  <si>
    <t>●Update of ACWMP for review and approval.</t>
  </si>
  <si>
    <t>Cedar Pond &amp; Rock Harbor Creek Resolution Plus Cedar Pond Single EIR; Nauset Estuary Increased Monitoring; and Pond Nutrient Study</t>
  </si>
  <si>
    <t>Design - Investigations</t>
  </si>
  <si>
    <t>Rounding Between 5-Year CIP</t>
  </si>
  <si>
    <t>FY 2018 - FY 2022 Wastewater Warrant Budget Estimates</t>
  </si>
  <si>
    <t>Aquaculture/Shellfish Propagation - Demonstration 3 - Shellfish Extension Program</t>
  </si>
  <si>
    <t>Aquaculture/Shellfish Propagation - Demonstration 4 - Quahog Inventory</t>
  </si>
  <si>
    <t>Aquaculture/Shellfish Propagation - Site 1 - Shellfish Extension Program</t>
  </si>
  <si>
    <t>Aquaculture/Shellfish Propagation - Full Scale Location TBD</t>
  </si>
  <si>
    <t>Floating Constructed Wetlands - Site 1 - Cost Efficacy to Be Validated</t>
  </si>
  <si>
    <t>●FCW (Data Refinement - verify N Removals)
● Aquaculture (Terminal Pond Oyster Bed; Quanset Pond Oyster Bed; Shellfish Extension; Quahog Inventory)
●PRB (Landfill - Design and Construction; Eldridge Park - Design)</t>
  </si>
  <si>
    <t>●Downtown Area (Collection Part 1 - Construction; WWTF Part 1 - Construction; Effluent Disposal - Construction)</t>
  </si>
  <si>
    <t>●FCW (Demo - Design)
● PRB (Demo 1 - Replacement)</t>
  </si>
  <si>
    <t xml:space="preserve">● Downtown Area (Collection  - Replacement; and WWTF - Replacement)
● PRB (Full Scale Site 1 and Site 2 - Construction)
</t>
  </si>
  <si>
    <t>● Aquaculture (Replacement)
'● FCW (Full Scale - Design)</t>
  </si>
  <si>
    <t>● Downtown Area (Collection - Replacement Phase 2; Collection -Construction Part 2; and WWTF - Replacement)
● Aquaculture (Full Scale - Construction)</t>
  </si>
  <si>
    <t>● Aquaculture (Demo Part 2 - Construction; Demo - Replacement)</t>
  </si>
  <si>
    <t>●Aquaculture (Demo 3 Replacement)
● FCW (Demo 2 - Construction)
● PRB (Demo 1 Replacement; Demo 2 - Replacement)</t>
  </si>
  <si>
    <t>●Downtown Area (Collection -  Replacement; WWTF - Replacement)
●Aquaculture (Site 1 - Design; Full Scale - Design)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</si>
</sst>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 #,##0.0_);_(* \(#,##0.0\);_(* &quot;-&quot;??_);_(@_)"/>
    <numFmt numFmtId="168" formatCode="m/d;@"/>
    <numFmt numFmtId="169" formatCode="&quot;$&quot;#,##0"/>
    <numFmt numFmtId="170" formatCode="_(&quot;$&quot;* #,##0.000_);_(&quot;$&quot;* \(#,##0.000\);_(&quot;$&quot;* &quot;-&quot;??_);_(@_)"/>
  </numFmts>
  <fonts count="19"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2"/>
      <name val="Arial"/>
      <family val="2"/>
    </font>
    <font>
      <sz val="11"/>
      <name val="Arial"/>
      <family val="2"/>
    </font>
    <font>
      <sz val="10"/>
      <color indexed="8"/>
      <name val="Arial"/>
      <family val="2"/>
    </font>
    <font>
      <b/>
      <sz val="11"/>
      <color theme="1"/>
      <name val="Calibri"/>
      <family val="2"/>
      <scheme val="minor"/>
    </font>
    <font>
      <b/>
      <sz val="11"/>
      <name val="Calibri"/>
      <family val="2"/>
      <scheme val="minor"/>
    </font>
    <font>
      <sz val="11"/>
      <name val="Calibri"/>
      <family val="2"/>
      <scheme val="minor"/>
    </font>
    <font>
      <b/>
      <sz val="9"/>
      <color theme="1"/>
      <name val="Arial"/>
      <family val="2"/>
    </font>
    <font>
      <sz val="9"/>
      <color theme="1"/>
      <name val="Arial"/>
      <family val="2"/>
    </font>
    <font>
      <u/>
      <sz val="9"/>
      <color theme="1"/>
      <name val="Arial"/>
      <family val="2"/>
    </font>
    <font>
      <b/>
      <sz val="9"/>
      <name val="Arial"/>
      <family val="2"/>
    </font>
    <font>
      <sz val="9"/>
      <color theme="0"/>
      <name val="Arial"/>
      <family val="2"/>
    </font>
    <font>
      <b/>
      <sz val="10"/>
      <name val="Arial"/>
      <family val="2"/>
    </font>
    <font>
      <sz val="10"/>
      <color theme="0"/>
      <name val="Arial"/>
      <family val="2"/>
    </font>
    <font>
      <b/>
      <u/>
      <sz val="10"/>
      <color theme="1"/>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s>
  <borders count="92">
    <border>
      <left/>
      <right/>
      <top/>
      <bottom/>
      <diagonal/>
    </border>
    <border>
      <left/>
      <right/>
      <top style="thin">
        <color indexed="64"/>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top style="hair">
        <color auto="1"/>
      </top>
      <bottom style="medium">
        <color auto="1"/>
      </bottom>
      <diagonal/>
    </border>
    <border>
      <left style="medium">
        <color auto="1"/>
      </left>
      <right style="hair">
        <color auto="1"/>
      </right>
      <top style="medium">
        <color auto="1"/>
      </top>
      <bottom style="medium">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style="hair">
        <color auto="1"/>
      </right>
      <top style="medium">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style="hair">
        <color auto="1"/>
      </left>
      <right/>
      <top style="hair">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diagonal/>
    </border>
    <border>
      <left style="medium">
        <color auto="1"/>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bottom style="thin">
        <color auto="1"/>
      </bottom>
      <diagonal/>
    </border>
    <border>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double">
        <color auto="1"/>
      </right>
      <top style="thin">
        <color auto="1"/>
      </top>
      <bottom/>
      <diagonal/>
    </border>
    <border>
      <left/>
      <right style="thin">
        <color auto="1"/>
      </right>
      <top style="thin">
        <color auto="1"/>
      </top>
      <bottom/>
      <diagonal/>
    </border>
    <border>
      <left style="double">
        <color auto="1"/>
      </left>
      <right style="thin">
        <color auto="1"/>
      </right>
      <top style="thin">
        <color indexed="64"/>
      </top>
      <bottom style="double">
        <color auto="1"/>
      </bottom>
      <diagonal/>
    </border>
    <border>
      <left style="thin">
        <color auto="1"/>
      </left>
      <right/>
      <top style="thin">
        <color indexed="64"/>
      </top>
      <bottom style="double">
        <color auto="1"/>
      </bottom>
      <diagonal/>
    </border>
    <border>
      <left style="thin">
        <color auto="1"/>
      </left>
      <right style="thin">
        <color auto="1"/>
      </right>
      <top style="thin">
        <color indexed="64"/>
      </top>
      <bottom style="double">
        <color auto="1"/>
      </bottom>
      <diagonal/>
    </border>
    <border>
      <left style="double">
        <color auto="1"/>
      </left>
      <right style="double">
        <color auto="1"/>
      </right>
      <top style="thin">
        <color indexed="64"/>
      </top>
      <bottom style="double">
        <color auto="1"/>
      </bottom>
      <diagonal/>
    </border>
    <border>
      <left/>
      <right style="thin">
        <color auto="1"/>
      </right>
      <top style="thin">
        <color indexed="64"/>
      </top>
      <bottom style="double">
        <color auto="1"/>
      </bottom>
      <diagonal/>
    </border>
    <border>
      <left style="thin">
        <color auto="1"/>
      </left>
      <right style="double">
        <color auto="1"/>
      </right>
      <top style="thin">
        <color indexed="64"/>
      </top>
      <bottom style="double">
        <color auto="1"/>
      </bottom>
      <diagonal/>
    </border>
    <border>
      <left style="double">
        <color auto="1"/>
      </left>
      <right style="double">
        <color auto="1"/>
      </right>
      <top/>
      <bottom/>
      <diagonal/>
    </border>
    <border>
      <left style="medium">
        <color auto="1"/>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medium">
        <color auto="1"/>
      </right>
      <top style="thin">
        <color indexed="64"/>
      </top>
      <bottom style="hair">
        <color auto="1"/>
      </bottom>
      <diagonal/>
    </border>
    <border>
      <left style="hair">
        <color auto="1"/>
      </left>
      <right style="hair">
        <color auto="1"/>
      </right>
      <top style="thin">
        <color indexed="64"/>
      </top>
      <bottom/>
      <diagonal/>
    </border>
    <border>
      <left style="thin">
        <color auto="1"/>
      </left>
      <right style="double">
        <color auto="1"/>
      </right>
      <top style="double">
        <color auto="1"/>
      </top>
      <bottom/>
      <diagonal/>
    </border>
    <border>
      <left/>
      <right style="medium">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13">
    <xf numFmtId="0" fontId="0" fillId="0" borderId="0" xfId="0"/>
    <xf numFmtId="0" fontId="2" fillId="0" borderId="0" xfId="0" applyFont="1" applyFill="1" applyBorder="1"/>
    <xf numFmtId="0" fontId="2" fillId="0" borderId="8" xfId="0" applyFont="1" applyFill="1" applyBorder="1"/>
    <xf numFmtId="44" fontId="2" fillId="0" borderId="8" xfId="2" quotePrefix="1" applyFont="1" applyFill="1" applyBorder="1"/>
    <xf numFmtId="0" fontId="2" fillId="0" borderId="6" xfId="0" applyNumberFormat="1" applyFont="1" applyFill="1" applyBorder="1" applyAlignment="1">
      <alignment horizontal="left" indent="2"/>
    </xf>
    <xf numFmtId="0" fontId="2" fillId="0" borderId="7" xfId="0" applyFont="1" applyFill="1" applyBorder="1"/>
    <xf numFmtId="0" fontId="2" fillId="0" borderId="2" xfId="0" applyFont="1" applyFill="1" applyBorder="1"/>
    <xf numFmtId="0" fontId="2" fillId="0" borderId="6" xfId="0" quotePrefix="1" applyFont="1" applyFill="1" applyBorder="1" applyAlignment="1">
      <alignment horizontal="left" indent="2"/>
    </xf>
    <xf numFmtId="0" fontId="2" fillId="0" borderId="5" xfId="0" applyFont="1" applyFill="1" applyBorder="1"/>
    <xf numFmtId="0" fontId="3" fillId="0" borderId="6" xfId="0" applyFont="1" applyFill="1" applyBorder="1" applyAlignment="1">
      <alignment horizontal="left"/>
    </xf>
    <xf numFmtId="0" fontId="3" fillId="0" borderId="10" xfId="0" applyFont="1" applyFill="1" applyBorder="1" applyAlignment="1">
      <alignment horizontal="center"/>
    </xf>
    <xf numFmtId="0" fontId="2" fillId="0" borderId="5" xfId="0" applyFont="1" applyFill="1" applyBorder="1" applyAlignment="1">
      <alignment horizontal="center"/>
    </xf>
    <xf numFmtId="0" fontId="2" fillId="0" borderId="11" xfId="0" applyFont="1" applyFill="1" applyBorder="1"/>
    <xf numFmtId="0" fontId="2" fillId="0" borderId="12" xfId="0" applyFont="1" applyFill="1" applyBorder="1"/>
    <xf numFmtId="0" fontId="2" fillId="0" borderId="7" xfId="0" applyFont="1" applyFill="1" applyBorder="1" applyAlignment="1">
      <alignment horizontal="center"/>
    </xf>
    <xf numFmtId="0" fontId="2" fillId="0" borderId="9" xfId="0" applyFont="1" applyFill="1" applyBorder="1"/>
    <xf numFmtId="0" fontId="2" fillId="0" borderId="6" xfId="0" applyFont="1" applyFill="1" applyBorder="1"/>
    <xf numFmtId="0" fontId="2" fillId="2" borderId="6" xfId="0" applyFont="1" applyFill="1" applyBorder="1" applyAlignment="1" applyProtection="1">
      <alignment horizontal="center"/>
      <protection locked="0"/>
    </xf>
    <xf numFmtId="0" fontId="2" fillId="2" borderId="6" xfId="0" quotePrefix="1" applyFont="1" applyFill="1" applyBorder="1" applyAlignment="1" applyProtection="1">
      <alignment horizontal="center"/>
      <protection locked="0"/>
    </xf>
    <xf numFmtId="0" fontId="2" fillId="2" borderId="8" xfId="0" applyFont="1" applyFill="1" applyBorder="1" applyProtection="1">
      <protection locked="0"/>
    </xf>
    <xf numFmtId="166" fontId="2" fillId="2" borderId="0" xfId="3" applyNumberFormat="1" applyFont="1" applyFill="1" applyBorder="1" applyProtection="1">
      <protection locked="0"/>
    </xf>
    <xf numFmtId="167" fontId="2" fillId="2" borderId="0" xfId="1" applyNumberFormat="1" applyFont="1" applyFill="1" applyBorder="1" applyProtection="1">
      <protection locked="0"/>
    </xf>
    <xf numFmtId="0" fontId="2" fillId="2" borderId="8" xfId="0" applyFont="1" applyFill="1" applyBorder="1" applyAlignment="1" applyProtection="1">
      <alignment wrapText="1"/>
      <protection locked="0"/>
    </xf>
    <xf numFmtId="44" fontId="2" fillId="2" borderId="8" xfId="2" applyFont="1" applyFill="1" applyBorder="1" applyAlignment="1" applyProtection="1">
      <alignment wrapText="1"/>
      <protection locked="0"/>
    </xf>
    <xf numFmtId="0" fontId="4" fillId="2" borderId="0" xfId="0" applyFont="1" applyFill="1" applyBorder="1" applyProtection="1">
      <protection locked="0"/>
    </xf>
    <xf numFmtId="0" fontId="3" fillId="0" borderId="4" xfId="0" applyFont="1" applyBorder="1" applyAlignment="1">
      <alignment horizontal="center" wrapText="1"/>
    </xf>
    <xf numFmtId="165" fontId="2" fillId="0" borderId="1" xfId="2" applyNumberFormat="1" applyFont="1" applyFill="1" applyBorder="1" applyProtection="1"/>
    <xf numFmtId="0" fontId="2" fillId="0" borderId="6" xfId="0" quotePrefix="1" applyFont="1" applyFill="1" applyBorder="1" applyAlignment="1" applyProtection="1">
      <alignment horizontal="left" wrapText="1" indent="2"/>
    </xf>
    <xf numFmtId="0" fontId="3" fillId="0" borderId="10" xfId="0" applyFont="1" applyBorder="1" applyAlignment="1">
      <alignment horizontal="center" vertical="center" wrapText="1"/>
    </xf>
    <xf numFmtId="165" fontId="2" fillId="0" borderId="8" xfId="0" applyNumberFormat="1" applyFont="1" applyBorder="1"/>
    <xf numFmtId="165" fontId="2" fillId="0" borderId="13" xfId="2" applyNumberFormat="1" applyFont="1" applyFill="1" applyBorder="1" applyProtection="1"/>
    <xf numFmtId="165" fontId="2" fillId="0" borderId="9" xfId="0" applyNumberFormat="1" applyFont="1" applyBorder="1"/>
    <xf numFmtId="0" fontId="3" fillId="0" borderId="6" xfId="0" applyFont="1" applyBorder="1" applyAlignment="1">
      <alignment horizontal="right"/>
    </xf>
    <xf numFmtId="44" fontId="2" fillId="0" borderId="6" xfId="2" applyFont="1" applyBorder="1" applyAlignment="1">
      <alignment horizontal="left"/>
    </xf>
    <xf numFmtId="0" fontId="2" fillId="2" borderId="8" xfId="2" quotePrefix="1" applyNumberFormat="1" applyFont="1" applyFill="1" applyBorder="1" applyAlignment="1" applyProtection="1">
      <alignment wrapText="1"/>
      <protection locked="0"/>
    </xf>
    <xf numFmtId="0" fontId="2" fillId="2" borderId="8" xfId="2" applyNumberFormat="1" applyFont="1" applyFill="1" applyBorder="1" applyAlignment="1" applyProtection="1">
      <alignment wrapText="1"/>
      <protection locked="0"/>
    </xf>
    <xf numFmtId="168" fontId="2" fillId="2" borderId="8" xfId="2" quotePrefix="1" applyNumberFormat="1" applyFont="1" applyFill="1" applyBorder="1" applyAlignment="1" applyProtection="1">
      <alignment horizontal="left" wrapText="1"/>
      <protection locked="0"/>
    </xf>
    <xf numFmtId="0" fontId="2" fillId="0" borderId="6" xfId="0" applyNumberFormat="1" applyFont="1" applyFill="1" applyBorder="1" applyAlignment="1">
      <alignment horizontal="left" indent="4"/>
    </xf>
    <xf numFmtId="0" fontId="2" fillId="0" borderId="6" xfId="0" quotePrefix="1" applyFont="1" applyFill="1" applyBorder="1" applyAlignment="1" applyProtection="1">
      <alignment horizontal="left" wrapText="1" indent="4"/>
    </xf>
    <xf numFmtId="0" fontId="6" fillId="0" borderId="0" xfId="0" applyFont="1"/>
    <xf numFmtId="0" fontId="6" fillId="0" borderId="0" xfId="0" applyFont="1" applyAlignment="1">
      <alignment horizontal="center"/>
    </xf>
    <xf numFmtId="0" fontId="6" fillId="0" borderId="0" xfId="0" applyFont="1" applyAlignment="1" applyProtection="1">
      <alignment horizontal="left" indent="2"/>
    </xf>
    <xf numFmtId="0" fontId="6" fillId="0" borderId="0" xfId="0" applyFont="1" applyAlignment="1" applyProtection="1">
      <alignment horizontal="center"/>
    </xf>
    <xf numFmtId="0" fontId="6" fillId="0" borderId="0" xfId="0" applyFont="1" applyBorder="1" applyAlignment="1">
      <alignment horizontal="center"/>
    </xf>
    <xf numFmtId="0" fontId="6" fillId="0" borderId="0" xfId="0" applyFont="1" applyAlignment="1">
      <alignment horizontal="left" indent="2"/>
    </xf>
    <xf numFmtId="0" fontId="6" fillId="0" borderId="0" xfId="0" applyFont="1" applyAlignment="1">
      <alignment horizontal="right"/>
    </xf>
    <xf numFmtId="0" fontId="6" fillId="0" borderId="0" xfId="0" applyFont="1" applyAlignment="1" applyProtection="1"/>
    <xf numFmtId="0" fontId="6" fillId="0" borderId="0" xfId="0" quotePrefix="1" applyFont="1" applyBorder="1" applyAlignment="1">
      <alignment horizontal="center"/>
    </xf>
    <xf numFmtId="169" fontId="6" fillId="2" borderId="0" xfId="2" applyNumberFormat="1" applyFont="1" applyFill="1" applyProtection="1">
      <protection locked="0"/>
    </xf>
    <xf numFmtId="44" fontId="2" fillId="0" borderId="8" xfId="2" applyFont="1" applyFill="1" applyBorder="1" applyAlignment="1">
      <alignment wrapText="1"/>
    </xf>
    <xf numFmtId="0" fontId="2" fillId="2" borderId="6" xfId="0" quotePrefix="1" applyFont="1" applyFill="1" applyBorder="1" applyAlignment="1" applyProtection="1">
      <alignment horizontal="left" vertical="top" wrapText="1"/>
      <protection locked="0"/>
    </xf>
    <xf numFmtId="164" fontId="2" fillId="2" borderId="0" xfId="1" applyNumberFormat="1" applyFont="1" applyFill="1" applyBorder="1" applyAlignment="1" applyProtection="1">
      <alignment vertical="top"/>
      <protection locked="0"/>
    </xf>
    <xf numFmtId="0" fontId="2" fillId="0" borderId="0" xfId="0" quotePrefix="1" applyFont="1" applyFill="1" applyBorder="1" applyAlignment="1" applyProtection="1">
      <alignment horizontal="center" vertical="top"/>
    </xf>
    <xf numFmtId="165" fontId="2" fillId="0" borderId="0" xfId="2" quotePrefix="1" applyNumberFormat="1" applyFont="1" applyFill="1" applyBorder="1" applyAlignment="1" applyProtection="1">
      <alignment horizontal="center" vertical="top"/>
    </xf>
    <xf numFmtId="165" fontId="2" fillId="0" borderId="0" xfId="2" applyNumberFormat="1" applyFont="1" applyBorder="1" applyAlignment="1">
      <alignment vertical="top"/>
    </xf>
    <xf numFmtId="0" fontId="2" fillId="2" borderId="0" xfId="0" quotePrefix="1" applyFont="1" applyFill="1" applyBorder="1" applyAlignment="1" applyProtection="1">
      <alignment horizontal="center" vertical="top"/>
      <protection locked="0"/>
    </xf>
    <xf numFmtId="165" fontId="2" fillId="2" borderId="0" xfId="2" applyNumberFormat="1" applyFont="1" applyFill="1" applyBorder="1" applyAlignment="1" applyProtection="1">
      <alignment vertical="top"/>
      <protection locked="0"/>
    </xf>
    <xf numFmtId="44" fontId="2" fillId="2" borderId="0" xfId="2" applyNumberFormat="1" applyFont="1" applyFill="1" applyBorder="1" applyAlignment="1" applyProtection="1">
      <alignment vertical="top"/>
      <protection locked="0"/>
    </xf>
    <xf numFmtId="44" fontId="2" fillId="2" borderId="8" xfId="2" quotePrefix="1" applyFont="1" applyFill="1" applyBorder="1" applyAlignment="1" applyProtection="1">
      <alignment vertical="top" wrapText="1"/>
      <protection locked="0"/>
    </xf>
    <xf numFmtId="170" fontId="2" fillId="2" borderId="0" xfId="2" applyNumberFormat="1" applyFont="1" applyFill="1" applyBorder="1" applyAlignment="1" applyProtection="1">
      <alignment vertical="top"/>
      <protection locked="0"/>
    </xf>
    <xf numFmtId="0" fontId="2" fillId="0" borderId="0" xfId="0" applyFont="1"/>
    <xf numFmtId="0" fontId="3" fillId="0" borderId="3" xfId="0" applyFont="1" applyBorder="1" applyAlignment="1">
      <alignment horizontal="center"/>
    </xf>
    <xf numFmtId="0" fontId="3" fillId="0" borderId="4" xfId="0" applyFont="1" applyBorder="1" applyAlignment="1">
      <alignment horizontal="center"/>
    </xf>
    <xf numFmtId="0" fontId="2" fillId="0" borderId="0" xfId="0" applyFont="1" applyBorder="1"/>
    <xf numFmtId="165" fontId="2" fillId="0" borderId="0" xfId="2" applyNumberFormat="1" applyFont="1" applyBorder="1"/>
    <xf numFmtId="164" fontId="2" fillId="0" borderId="0" xfId="1" applyNumberFormat="1" applyFont="1" applyFill="1" applyBorder="1"/>
    <xf numFmtId="9" fontId="2" fillId="0" borderId="0" xfId="3" applyFont="1" applyFill="1" applyBorder="1"/>
    <xf numFmtId="165" fontId="2" fillId="0" borderId="0" xfId="2" applyNumberFormat="1" applyFont="1" applyFill="1" applyBorder="1"/>
    <xf numFmtId="165" fontId="2" fillId="0" borderId="0" xfId="0" applyNumberFormat="1" applyFont="1" applyBorder="1"/>
    <xf numFmtId="44" fontId="2" fillId="0" borderId="0" xfId="2" applyFont="1" applyFill="1" applyBorder="1"/>
    <xf numFmtId="0" fontId="2" fillId="0" borderId="2" xfId="0" applyFont="1" applyBorder="1"/>
    <xf numFmtId="165" fontId="2" fillId="0" borderId="2" xfId="0" applyNumberFormat="1" applyFont="1" applyBorder="1"/>
    <xf numFmtId="0" fontId="2" fillId="0" borderId="6" xfId="0" applyFont="1" applyBorder="1"/>
    <xf numFmtId="0" fontId="2" fillId="0" borderId="7" xfId="0" applyFont="1" applyBorder="1"/>
    <xf numFmtId="0" fontId="2" fillId="0" borderId="0" xfId="0" applyFont="1" applyAlignment="1">
      <alignment horizontal="centerContinuous"/>
    </xf>
    <xf numFmtId="0" fontId="3" fillId="0" borderId="0" xfId="0" applyFont="1" applyAlignment="1">
      <alignment horizontal="centerContinuous"/>
    </xf>
    <xf numFmtId="0" fontId="2" fillId="0" borderId="8" xfId="0" applyFont="1" applyBorder="1"/>
    <xf numFmtId="44" fontId="2" fillId="0" borderId="8" xfId="2" applyFont="1" applyFill="1" applyBorder="1"/>
    <xf numFmtId="0" fontId="3" fillId="0" borderId="4" xfId="0" applyFont="1" applyBorder="1" applyAlignment="1">
      <alignment horizontal="center" vertical="center"/>
    </xf>
    <xf numFmtId="0" fontId="3" fillId="0" borderId="10" xfId="0" applyFont="1" applyBorder="1" applyAlignment="1">
      <alignment horizontal="center" vertical="center"/>
    </xf>
    <xf numFmtId="44" fontId="2" fillId="0" borderId="9" xfId="2" applyFont="1" applyFill="1" applyBorder="1"/>
    <xf numFmtId="0" fontId="2" fillId="0" borderId="6" xfId="0" quotePrefix="1" applyFont="1" applyFill="1" applyBorder="1" applyAlignment="1">
      <alignment horizontal="left"/>
    </xf>
    <xf numFmtId="0" fontId="2" fillId="0" borderId="0" xfId="0" applyFont="1" applyFill="1" applyBorder="1" applyAlignment="1">
      <alignment horizontal="center"/>
    </xf>
    <xf numFmtId="0" fontId="3" fillId="0" borderId="0" xfId="0" applyFont="1" applyFill="1" applyAlignment="1">
      <alignment horizontal="centerContinuous"/>
    </xf>
    <xf numFmtId="0" fontId="2" fillId="0" borderId="0" xfId="0" applyFont="1" applyFill="1" applyAlignment="1">
      <alignment horizontal="centerContinuous"/>
    </xf>
    <xf numFmtId="0" fontId="2" fillId="0" borderId="0" xfId="0" applyFont="1" applyFill="1"/>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0" xfId="0" applyFont="1" applyBorder="1" applyAlignment="1">
      <alignment horizontal="right"/>
    </xf>
    <xf numFmtId="0" fontId="2" fillId="0" borderId="0" xfId="0" applyNumberFormat="1" applyFont="1" applyBorder="1" applyAlignment="1">
      <alignment horizontal="right"/>
    </xf>
    <xf numFmtId="165" fontId="2" fillId="0" borderId="1" xfId="2" applyNumberFormat="1" applyFont="1" applyFill="1" applyBorder="1"/>
    <xf numFmtId="165" fontId="2" fillId="0" borderId="1" xfId="2" applyNumberFormat="1" applyFont="1" applyBorder="1"/>
    <xf numFmtId="165" fontId="3" fillId="0" borderId="0" xfId="0" applyNumberFormat="1" applyFont="1" applyBorder="1" applyAlignment="1">
      <alignment horizontal="right"/>
    </xf>
    <xf numFmtId="166" fontId="2" fillId="0" borderId="0" xfId="3" applyNumberFormat="1" applyFont="1" applyFill="1" applyBorder="1"/>
    <xf numFmtId="166" fontId="2" fillId="0" borderId="0" xfId="3" applyNumberFormat="1" applyFont="1" applyBorder="1"/>
    <xf numFmtId="0" fontId="2" fillId="0" borderId="0" xfId="0" applyFont="1" applyAlignment="1">
      <alignment horizontal="center"/>
    </xf>
    <xf numFmtId="44" fontId="2" fillId="0" borderId="8" xfId="2" applyFont="1" applyBorder="1"/>
    <xf numFmtId="44" fontId="2" fillId="2" borderId="8" xfId="2" quotePrefix="1" applyFont="1" applyFill="1" applyBorder="1" applyAlignment="1" applyProtection="1">
      <alignment wrapText="1"/>
      <protection locked="0"/>
    </xf>
    <xf numFmtId="0" fontId="3" fillId="0" borderId="0" xfId="0" applyFont="1" applyFill="1" applyAlignment="1" applyProtection="1">
      <alignment horizontal="centerContinuous"/>
      <protection locked="0"/>
    </xf>
    <xf numFmtId="165" fontId="2" fillId="0" borderId="0" xfId="2" applyNumberFormat="1" applyFont="1" applyFill="1" applyBorder="1" applyProtection="1"/>
    <xf numFmtId="0" fontId="2" fillId="0" borderId="6" xfId="0" quotePrefix="1" applyFont="1" applyFill="1" applyBorder="1" applyAlignment="1" applyProtection="1">
      <alignment horizontal="left" wrapText="1"/>
    </xf>
    <xf numFmtId="0" fontId="2" fillId="0" borderId="0" xfId="0" applyFont="1" applyProtection="1"/>
    <xf numFmtId="0" fontId="3" fillId="0" borderId="6" xfId="0" quotePrefix="1" applyFont="1" applyFill="1" applyBorder="1" applyAlignment="1" applyProtection="1">
      <alignment horizontal="left" wrapText="1"/>
    </xf>
    <xf numFmtId="165" fontId="2" fillId="0" borderId="8" xfId="2" applyNumberFormat="1" applyFont="1" applyFill="1" applyBorder="1" applyProtection="1"/>
    <xf numFmtId="0" fontId="2" fillId="0" borderId="8" xfId="0" applyFont="1" applyBorder="1" applyProtection="1"/>
    <xf numFmtId="165" fontId="3" fillId="0" borderId="0" xfId="2" applyNumberFormat="1" applyFont="1" applyFill="1" applyBorder="1" applyProtection="1"/>
    <xf numFmtId="165" fontId="3" fillId="0" borderId="8" xfId="2" applyNumberFormat="1" applyFont="1" applyFill="1" applyBorder="1" applyProtection="1"/>
    <xf numFmtId="164" fontId="2" fillId="0" borderId="0" xfId="1" applyNumberFormat="1" applyFont="1" applyFill="1" applyBorder="1" applyProtection="1"/>
    <xf numFmtId="0" fontId="2" fillId="0" borderId="0" xfId="0" applyFont="1" applyFill="1" applyBorder="1" applyAlignment="1" applyProtection="1">
      <alignment horizontal="center"/>
    </xf>
    <xf numFmtId="165" fontId="2" fillId="0" borderId="0" xfId="2" applyNumberFormat="1" applyFont="1" applyBorder="1" applyProtection="1"/>
    <xf numFmtId="44" fontId="2" fillId="0" borderId="8" xfId="2" applyFont="1" applyFill="1" applyBorder="1" applyProtection="1"/>
    <xf numFmtId="166" fontId="2" fillId="0" borderId="8" xfId="2" quotePrefix="1" applyNumberFormat="1" applyFont="1" applyFill="1" applyBorder="1" applyAlignment="1" applyProtection="1">
      <alignment horizontal="left" wrapText="1"/>
    </xf>
    <xf numFmtId="0" fontId="6" fillId="0" borderId="15" xfId="0" applyFont="1" applyBorder="1" applyAlignment="1">
      <alignment horizontal="center"/>
    </xf>
    <xf numFmtId="165" fontId="7" fillId="0" borderId="0" xfId="2" applyNumberFormat="1" applyFont="1" applyFill="1" applyAlignment="1" applyProtection="1">
      <alignment horizontal="center"/>
    </xf>
    <xf numFmtId="0" fontId="7" fillId="0" borderId="0" xfId="0" applyFont="1" applyFill="1"/>
    <xf numFmtId="44" fontId="7" fillId="2" borderId="8" xfId="2" quotePrefix="1" applyFont="1" applyFill="1" applyBorder="1" applyAlignment="1" applyProtection="1">
      <alignment wrapText="1"/>
      <protection locked="0"/>
    </xf>
    <xf numFmtId="165" fontId="7" fillId="0" borderId="0" xfId="2" quotePrefix="1" applyNumberFormat="1" applyFont="1" applyFill="1" applyBorder="1" applyAlignment="1" applyProtection="1">
      <alignment horizontal="center" vertical="top"/>
    </xf>
    <xf numFmtId="165" fontId="7" fillId="2" borderId="0" xfId="2" applyNumberFormat="1" applyFont="1" applyFill="1" applyBorder="1" applyAlignment="1" applyProtection="1">
      <alignment vertical="top"/>
      <protection locked="0"/>
    </xf>
    <xf numFmtId="44" fontId="7" fillId="2" borderId="0" xfId="2" applyNumberFormat="1" applyFont="1" applyFill="1" applyBorder="1" applyAlignment="1" applyProtection="1">
      <alignment vertical="top"/>
      <protection locked="0"/>
    </xf>
    <xf numFmtId="0" fontId="2" fillId="0" borderId="6" xfId="0" applyFont="1" applyBorder="1" applyProtection="1"/>
    <xf numFmtId="0" fontId="0" fillId="0" borderId="0" xfId="0" applyFont="1"/>
    <xf numFmtId="0" fontId="2" fillId="0" borderId="14" xfId="0" applyFont="1" applyBorder="1"/>
    <xf numFmtId="165" fontId="3" fillId="0" borderId="1" xfId="2" applyNumberFormat="1" applyFont="1" applyBorder="1"/>
    <xf numFmtId="0" fontId="3" fillId="0" borderId="0" xfId="0" applyFont="1" applyAlignment="1" applyProtection="1">
      <alignment horizontal="centerContinuous"/>
    </xf>
    <xf numFmtId="0" fontId="2" fillId="0" borderId="0" xfId="0" applyFont="1" applyAlignment="1" applyProtection="1">
      <alignment horizontal="centerContinuous"/>
    </xf>
    <xf numFmtId="0" fontId="9" fillId="0" borderId="0" xfId="5" applyFont="1" applyFill="1" applyAlignment="1" applyProtection="1">
      <alignment horizontal="centerContinuous"/>
    </xf>
    <xf numFmtId="0" fontId="1" fillId="0" borderId="0" xfId="6" applyAlignment="1" applyProtection="1">
      <alignment horizontal="centerContinuous"/>
    </xf>
    <xf numFmtId="0" fontId="1" fillId="0" borderId="0" xfId="6" applyProtection="1"/>
    <xf numFmtId="0" fontId="8" fillId="0" borderId="0" xfId="6" applyFont="1" applyProtection="1"/>
    <xf numFmtId="0" fontId="8" fillId="0" borderId="0" xfId="6" applyFont="1" applyAlignment="1" applyProtection="1">
      <alignment horizontal="center"/>
    </xf>
    <xf numFmtId="165" fontId="1" fillId="0" borderId="0" xfId="7" applyNumberFormat="1" applyFont="1" applyFill="1" applyProtection="1"/>
    <xf numFmtId="165" fontId="1" fillId="0" borderId="14" xfId="7" applyNumberFormat="1" applyFont="1" applyBorder="1" applyProtection="1"/>
    <xf numFmtId="165" fontId="8" fillId="0" borderId="1" xfId="6" applyNumberFormat="1" applyFont="1" applyBorder="1" applyProtection="1"/>
    <xf numFmtId="165" fontId="8" fillId="0" borderId="0" xfId="6" applyNumberFormat="1" applyFont="1" applyProtection="1"/>
    <xf numFmtId="0" fontId="0" fillId="0" borderId="0" xfId="6" applyFont="1" applyFill="1" applyProtection="1"/>
    <xf numFmtId="164" fontId="1" fillId="0" borderId="0" xfId="8" applyNumberFormat="1" applyFont="1" applyFill="1" applyProtection="1"/>
    <xf numFmtId="165" fontId="8" fillId="0" borderId="0" xfId="7" applyNumberFormat="1" applyFont="1" applyProtection="1"/>
    <xf numFmtId="0" fontId="1" fillId="0" borderId="0" xfId="6" applyFont="1" applyProtection="1"/>
    <xf numFmtId="0" fontId="8" fillId="0" borderId="0" xfId="6" applyFont="1" applyFill="1" applyProtection="1"/>
    <xf numFmtId="44" fontId="8" fillId="0" borderId="0" xfId="7" applyFont="1" applyFill="1" applyProtection="1"/>
    <xf numFmtId="0" fontId="0" fillId="0" borderId="0" xfId="6" applyFont="1" applyProtection="1"/>
    <xf numFmtId="0" fontId="0" fillId="0" borderId="0" xfId="6" applyFont="1" applyAlignment="1" applyProtection="1">
      <alignment horizontal="left" indent="2"/>
    </xf>
    <xf numFmtId="0" fontId="1" fillId="0" borderId="0" xfId="6" applyAlignment="1" applyProtection="1">
      <alignment horizontal="left" indent="2"/>
    </xf>
    <xf numFmtId="0" fontId="1" fillId="0" borderId="14" xfId="6" applyBorder="1" applyProtection="1"/>
    <xf numFmtId="0" fontId="0" fillId="0" borderId="0" xfId="6" applyFont="1" applyAlignment="1" applyProtection="1">
      <alignment vertical="top" wrapText="1"/>
    </xf>
    <xf numFmtId="169" fontId="2" fillId="0" borderId="0" xfId="0" applyNumberFormat="1" applyFont="1"/>
    <xf numFmtId="169" fontId="2" fillId="0" borderId="0" xfId="0" applyNumberFormat="1" applyFont="1" applyFill="1"/>
    <xf numFmtId="165" fontId="12" fillId="0" borderId="19" xfId="2" applyNumberFormat="1" applyFont="1" applyFill="1" applyBorder="1" applyProtection="1"/>
    <xf numFmtId="165" fontId="12" fillId="3" borderId="19" xfId="2" applyNumberFormat="1" applyFont="1" applyFill="1" applyBorder="1" applyProtection="1"/>
    <xf numFmtId="0" fontId="12" fillId="0" borderId="23" xfId="0" applyFont="1" applyBorder="1" applyProtection="1"/>
    <xf numFmtId="165" fontId="12" fillId="3" borderId="23" xfId="2" applyNumberFormat="1" applyFont="1" applyFill="1" applyBorder="1" applyProtection="1"/>
    <xf numFmtId="165" fontId="12" fillId="0" borderId="23" xfId="2" applyNumberFormat="1" applyFont="1" applyFill="1" applyBorder="1" applyProtection="1"/>
    <xf numFmtId="165" fontId="11" fillId="0" borderId="19" xfId="2" applyNumberFormat="1" applyFont="1" applyFill="1" applyBorder="1" applyAlignment="1" applyProtection="1">
      <alignment horizontal="right"/>
    </xf>
    <xf numFmtId="165" fontId="12" fillId="0" borderId="27" xfId="2" applyNumberFormat="1" applyFont="1" applyFill="1" applyBorder="1" applyProtection="1"/>
    <xf numFmtId="165" fontId="12" fillId="3" borderId="27" xfId="2" applyNumberFormat="1" applyFont="1" applyFill="1" applyBorder="1" applyProtection="1"/>
    <xf numFmtId="165" fontId="12" fillId="0" borderId="29" xfId="2" applyNumberFormat="1" applyFont="1" applyFill="1" applyBorder="1" applyProtection="1"/>
    <xf numFmtId="165" fontId="12" fillId="0" borderId="30" xfId="2" applyNumberFormat="1" applyFont="1" applyFill="1" applyBorder="1" applyProtection="1"/>
    <xf numFmtId="165" fontId="12" fillId="0" borderId="31" xfId="2" applyNumberFormat="1" applyFont="1" applyFill="1" applyBorder="1" applyProtection="1"/>
    <xf numFmtId="165" fontId="12" fillId="3" borderId="18" xfId="2" applyNumberFormat="1" applyFont="1" applyFill="1" applyBorder="1" applyProtection="1"/>
    <xf numFmtId="165" fontId="12" fillId="3" borderId="20" xfId="2" applyNumberFormat="1" applyFont="1" applyFill="1" applyBorder="1" applyProtection="1"/>
    <xf numFmtId="0" fontId="14" fillId="4" borderId="3" xfId="0" quotePrefix="1" applyFont="1" applyFill="1" applyBorder="1" applyAlignment="1" applyProtection="1">
      <alignment wrapText="1"/>
    </xf>
    <xf numFmtId="0" fontId="14" fillId="4" borderId="4" xfId="0" quotePrefix="1" applyFont="1" applyFill="1" applyBorder="1" applyAlignment="1" applyProtection="1">
      <alignment wrapText="1"/>
    </xf>
    <xf numFmtId="0" fontId="14" fillId="4" borderId="10" xfId="0" quotePrefix="1" applyFont="1" applyFill="1" applyBorder="1" applyAlignment="1" applyProtection="1">
      <alignment wrapText="1"/>
    </xf>
    <xf numFmtId="165" fontId="12" fillId="3" borderId="35" xfId="2" applyNumberFormat="1" applyFont="1" applyFill="1" applyBorder="1" applyProtection="1"/>
    <xf numFmtId="165" fontId="12" fillId="3" borderId="36" xfId="2" applyNumberFormat="1" applyFont="1" applyFill="1" applyBorder="1" applyProtection="1"/>
    <xf numFmtId="165" fontId="12" fillId="3" borderId="37" xfId="2" applyNumberFormat="1" applyFont="1" applyFill="1" applyBorder="1" applyProtection="1"/>
    <xf numFmtId="165" fontId="12" fillId="0" borderId="18" xfId="2" applyNumberFormat="1" applyFont="1" applyFill="1" applyBorder="1" applyProtection="1"/>
    <xf numFmtId="165" fontId="12" fillId="0" borderId="26" xfId="2" applyNumberFormat="1" applyFont="1" applyFill="1" applyBorder="1" applyProtection="1"/>
    <xf numFmtId="165" fontId="12" fillId="0" borderId="22" xfId="2" applyNumberFormat="1" applyFont="1" applyFill="1" applyBorder="1" applyProtection="1"/>
    <xf numFmtId="165" fontId="12" fillId="0" borderId="35" xfId="2" applyNumberFormat="1" applyFont="1" applyFill="1" applyBorder="1" applyProtection="1"/>
    <xf numFmtId="165" fontId="12" fillId="0" borderId="36" xfId="2" applyNumberFormat="1" applyFont="1" applyFill="1" applyBorder="1" applyProtection="1"/>
    <xf numFmtId="165" fontId="12" fillId="0" borderId="37" xfId="2" applyNumberFormat="1" applyFont="1" applyFill="1" applyBorder="1" applyProtection="1"/>
    <xf numFmtId="165" fontId="12" fillId="3" borderId="26" xfId="2" applyNumberFormat="1" applyFont="1" applyFill="1" applyBorder="1" applyProtection="1"/>
    <xf numFmtId="165" fontId="12" fillId="3" borderId="22" xfId="2" applyNumberFormat="1" applyFont="1" applyFill="1" applyBorder="1" applyProtection="1"/>
    <xf numFmtId="165" fontId="12" fillId="3" borderId="29" xfId="2" applyNumberFormat="1" applyFont="1" applyFill="1" applyBorder="1" applyProtection="1"/>
    <xf numFmtId="165" fontId="12" fillId="3" borderId="30" xfId="2" applyNumberFormat="1" applyFont="1" applyFill="1" applyBorder="1" applyProtection="1"/>
    <xf numFmtId="165" fontId="12" fillId="3" borderId="31" xfId="2" applyNumberFormat="1" applyFont="1" applyFill="1" applyBorder="1" applyProtection="1"/>
    <xf numFmtId="0" fontId="12" fillId="0" borderId="22" xfId="0" applyFont="1" applyBorder="1" applyProtection="1"/>
    <xf numFmtId="165" fontId="11" fillId="0" borderId="18" xfId="2" applyNumberFormat="1" applyFont="1" applyFill="1" applyBorder="1" applyAlignment="1" applyProtection="1">
      <alignment horizontal="right"/>
    </xf>
    <xf numFmtId="0" fontId="12" fillId="0" borderId="42" xfId="0" quotePrefix="1" applyFont="1" applyFill="1" applyBorder="1" applyAlignment="1" applyProtection="1">
      <alignment horizontal="left" wrapText="1" indent="2"/>
    </xf>
    <xf numFmtId="0" fontId="12" fillId="0" borderId="42" xfId="0" quotePrefix="1" applyFont="1" applyFill="1" applyBorder="1" applyAlignment="1" applyProtection="1">
      <alignment horizontal="left" wrapText="1" indent="4"/>
    </xf>
    <xf numFmtId="0" fontId="12" fillId="0" borderId="42" xfId="0" quotePrefix="1" applyFont="1" applyFill="1" applyBorder="1" applyAlignment="1" applyProtection="1">
      <alignment horizontal="left" wrapText="1" indent="6"/>
    </xf>
    <xf numFmtId="0" fontId="12" fillId="0" borderId="42" xfId="0" quotePrefix="1" applyFont="1" applyFill="1" applyBorder="1" applyAlignment="1" applyProtection="1">
      <alignment horizontal="left" wrapText="1"/>
    </xf>
    <xf numFmtId="0" fontId="11" fillId="0" borderId="42" xfId="0" quotePrefix="1" applyFont="1" applyFill="1" applyBorder="1" applyAlignment="1" applyProtection="1">
      <alignment horizontal="left" wrapText="1"/>
    </xf>
    <xf numFmtId="0" fontId="12" fillId="0" borderId="43" xfId="0" quotePrefix="1" applyFont="1" applyFill="1" applyBorder="1" applyAlignment="1" applyProtection="1">
      <alignment horizontal="left" wrapText="1" indent="2"/>
    </xf>
    <xf numFmtId="0" fontId="13" fillId="0" borderId="44" xfId="0" quotePrefix="1" applyFont="1" applyFill="1" applyBorder="1" applyAlignment="1" applyProtection="1">
      <alignment horizontal="left" wrapText="1" indent="2"/>
    </xf>
    <xf numFmtId="0" fontId="13" fillId="0" borderId="42" xfId="0" quotePrefix="1" applyFont="1" applyFill="1" applyBorder="1" applyAlignment="1" applyProtection="1">
      <alignment horizontal="left" wrapText="1" indent="2"/>
    </xf>
    <xf numFmtId="0" fontId="12" fillId="0" borderId="42" xfId="0" quotePrefix="1" applyFont="1" applyFill="1" applyBorder="1" applyAlignment="1" applyProtection="1">
      <alignment horizontal="center" wrapText="1"/>
    </xf>
    <xf numFmtId="0" fontId="11" fillId="0" borderId="42" xfId="0" quotePrefix="1" applyFont="1" applyFill="1" applyBorder="1" applyAlignment="1" applyProtection="1">
      <alignment horizontal="center" wrapText="1"/>
    </xf>
    <xf numFmtId="0" fontId="12" fillId="0" borderId="43" xfId="0" quotePrefix="1" applyFont="1" applyFill="1" applyBorder="1" applyAlignment="1" applyProtection="1">
      <alignment horizontal="center" wrapText="1"/>
    </xf>
    <xf numFmtId="0" fontId="13" fillId="0" borderId="44" xfId="0" quotePrefix="1" applyFont="1" applyFill="1" applyBorder="1" applyAlignment="1" applyProtection="1">
      <alignment horizontal="center" wrapText="1"/>
    </xf>
    <xf numFmtId="0" fontId="13" fillId="0" borderId="42" xfId="0" quotePrefix="1" applyFont="1" applyFill="1" applyBorder="1" applyAlignment="1" applyProtection="1">
      <alignment horizontal="center" wrapText="1"/>
    </xf>
    <xf numFmtId="165" fontId="15" fillId="0" borderId="18" xfId="2" applyNumberFormat="1" applyFont="1" applyFill="1" applyBorder="1" applyProtection="1"/>
    <xf numFmtId="165" fontId="15" fillId="0" borderId="19" xfId="2" applyNumberFormat="1" applyFont="1" applyFill="1" applyBorder="1" applyProtection="1"/>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165" fontId="2" fillId="2" borderId="0" xfId="2" applyNumberFormat="1" applyFont="1" applyFill="1" applyBorder="1" applyProtection="1">
      <protection locked="0"/>
    </xf>
    <xf numFmtId="0" fontId="3" fillId="0" borderId="6" xfId="0" applyFont="1" applyBorder="1" applyProtection="1"/>
    <xf numFmtId="0" fontId="4" fillId="0" borderId="0" xfId="0" applyFont="1" applyAlignment="1" applyProtection="1">
      <alignment vertical="top"/>
    </xf>
    <xf numFmtId="0" fontId="4" fillId="0" borderId="0" xfId="0" applyFont="1" applyAlignment="1" applyProtection="1"/>
    <xf numFmtId="0" fontId="4" fillId="0" borderId="0" xfId="0" applyFont="1" applyAlignment="1" applyProtection="1">
      <alignment horizontal="center" vertical="top"/>
    </xf>
    <xf numFmtId="165" fontId="4" fillId="0" borderId="0" xfId="2" applyNumberFormat="1" applyFont="1" applyFill="1" applyAlignment="1" applyProtection="1">
      <alignment vertical="top"/>
    </xf>
    <xf numFmtId="165" fontId="4" fillId="0" borderId="0" xfId="2" applyNumberFormat="1" applyFont="1" applyFill="1" applyAlignment="1" applyProtection="1">
      <alignment horizontal="center"/>
    </xf>
    <xf numFmtId="164" fontId="4" fillId="0" borderId="0" xfId="1" applyNumberFormat="1" applyFont="1" applyFill="1" applyAlignment="1" applyProtection="1">
      <alignment horizontal="center"/>
    </xf>
    <xf numFmtId="164" fontId="4" fillId="2" borderId="0" xfId="1" applyNumberFormat="1" applyFont="1" applyFill="1" applyAlignment="1" applyProtection="1">
      <alignment horizontal="center"/>
    </xf>
    <xf numFmtId="165" fontId="4" fillId="0" borderId="0" xfId="2" applyNumberFormat="1" applyFont="1" applyFill="1" applyAlignment="1" applyProtection="1">
      <alignment horizontal="center" vertical="top"/>
    </xf>
    <xf numFmtId="0" fontId="4" fillId="0" borderId="0" xfId="0" applyFont="1" applyAlignment="1" applyProtection="1">
      <alignment horizontal="center"/>
    </xf>
    <xf numFmtId="165" fontId="4" fillId="0" borderId="0" xfId="2" applyNumberFormat="1" applyFont="1" applyFill="1" applyProtection="1"/>
    <xf numFmtId="0" fontId="4" fillId="0" borderId="0" xfId="0" applyFont="1" applyAlignment="1" applyProtection="1">
      <alignment horizontal="left" indent="2"/>
    </xf>
    <xf numFmtId="165" fontId="16" fillId="0" borderId="1" xfId="2" applyNumberFormat="1" applyFont="1" applyFill="1" applyBorder="1" applyAlignment="1" applyProtection="1">
      <alignment vertical="top"/>
    </xf>
    <xf numFmtId="0" fontId="12" fillId="0" borderId="42" xfId="0" quotePrefix="1" applyFont="1" applyFill="1" applyBorder="1" applyAlignment="1" applyProtection="1">
      <alignment wrapText="1"/>
    </xf>
    <xf numFmtId="0" fontId="2" fillId="0" borderId="0" xfId="0" applyFont="1" applyAlignment="1"/>
    <xf numFmtId="0" fontId="3" fillId="0" borderId="0" xfId="0" applyFont="1" applyAlignment="1">
      <alignment horizontal="centerContinuous" vertical="center"/>
    </xf>
    <xf numFmtId="0" fontId="2" fillId="0" borderId="0" xfId="0" quotePrefix="1" applyFont="1" applyAlignment="1">
      <alignment horizontal="centerContinuous"/>
    </xf>
    <xf numFmtId="0" fontId="2" fillId="0" borderId="15" xfId="0" applyFont="1" applyBorder="1" applyAlignment="1">
      <alignment horizontal="center"/>
    </xf>
    <xf numFmtId="0" fontId="2" fillId="0" borderId="15" xfId="0" applyFont="1" applyBorder="1" applyAlignment="1">
      <alignment horizontal="center" wrapText="1"/>
    </xf>
    <xf numFmtId="165" fontId="2" fillId="0" borderId="0" xfId="0" applyNumberFormat="1" applyFont="1"/>
    <xf numFmtId="0" fontId="2" fillId="0" borderId="14" xfId="0" applyFont="1" applyBorder="1" applyAlignment="1">
      <alignment horizontal="center"/>
    </xf>
    <xf numFmtId="165" fontId="2" fillId="0" borderId="14" xfId="0" applyNumberFormat="1" applyFont="1" applyBorder="1"/>
    <xf numFmtId="0" fontId="12" fillId="0" borderId="43" xfId="0" quotePrefix="1" applyFont="1" applyFill="1" applyBorder="1" applyAlignment="1" applyProtection="1">
      <alignment horizontal="left" wrapText="1" indent="6"/>
    </xf>
    <xf numFmtId="165" fontId="12" fillId="0" borderId="42" xfId="2" applyNumberFormat="1" applyFont="1" applyFill="1" applyBorder="1" applyProtection="1"/>
    <xf numFmtId="165" fontId="11" fillId="0" borderId="86" xfId="2" applyNumberFormat="1" applyFont="1" applyFill="1" applyBorder="1" applyProtection="1"/>
    <xf numFmtId="165" fontId="11" fillId="0" borderId="87" xfId="2" applyNumberFormat="1" applyFont="1" applyFill="1" applyBorder="1" applyProtection="1"/>
    <xf numFmtId="165" fontId="11" fillId="0" borderId="89" xfId="2" applyNumberFormat="1" applyFont="1" applyFill="1" applyBorder="1" applyProtection="1"/>
    <xf numFmtId="165" fontId="11" fillId="0" borderId="88" xfId="2" applyNumberFormat="1" applyFont="1" applyFill="1" applyBorder="1" applyProtection="1"/>
    <xf numFmtId="165" fontId="11" fillId="0" borderId="18" xfId="2" applyNumberFormat="1" applyFont="1" applyFill="1" applyBorder="1" applyProtection="1"/>
    <xf numFmtId="165" fontId="11" fillId="0" borderId="19" xfId="2" applyNumberFormat="1" applyFont="1" applyFill="1" applyBorder="1" applyProtection="1"/>
    <xf numFmtId="165" fontId="11" fillId="0" borderId="29" xfId="2" applyNumberFormat="1" applyFont="1" applyFill="1" applyBorder="1" applyProtection="1"/>
    <xf numFmtId="0" fontId="3" fillId="0" borderId="0" xfId="0" quotePrefix="1" applyFont="1" applyAlignment="1">
      <alignment horizontal="centerContinuous" vertical="center"/>
    </xf>
    <xf numFmtId="165" fontId="11" fillId="3" borderId="86" xfId="2" applyNumberFormat="1" applyFont="1" applyFill="1" applyBorder="1" applyProtection="1"/>
    <xf numFmtId="165" fontId="11" fillId="3" borderId="87" xfId="2" applyNumberFormat="1" applyFont="1" applyFill="1" applyBorder="1" applyProtection="1"/>
    <xf numFmtId="165" fontId="11" fillId="3" borderId="88" xfId="2" applyNumberFormat="1" applyFont="1" applyFill="1" applyBorder="1" applyProtection="1"/>
    <xf numFmtId="165" fontId="2" fillId="0" borderId="1" xfId="0" applyNumberFormat="1" applyFont="1" applyBorder="1"/>
    <xf numFmtId="164" fontId="2" fillId="0" borderId="0" xfId="9" applyNumberFormat="1" applyFont="1"/>
    <xf numFmtId="0" fontId="2" fillId="0" borderId="0" xfId="4" applyFont="1" applyAlignment="1">
      <alignment vertical="top"/>
    </xf>
    <xf numFmtId="0" fontId="2" fillId="0" borderId="0" xfId="0" applyFont="1" applyAlignment="1">
      <alignment wrapText="1"/>
    </xf>
    <xf numFmtId="0" fontId="18" fillId="0" borderId="0" xfId="4" applyFont="1" applyAlignment="1"/>
    <xf numFmtId="0" fontId="3" fillId="0" borderId="0" xfId="4" applyFont="1" applyAlignment="1">
      <alignment horizontal="center"/>
    </xf>
    <xf numFmtId="0" fontId="3" fillId="0" borderId="0" xfId="4" applyFont="1"/>
    <xf numFmtId="165" fontId="2" fillId="0" borderId="0" xfId="7" applyNumberFormat="1" applyFont="1"/>
    <xf numFmtId="165" fontId="2" fillId="0" borderId="0" xfId="7" applyNumberFormat="1" applyFont="1" applyAlignment="1">
      <alignment wrapText="1"/>
    </xf>
    <xf numFmtId="165" fontId="3" fillId="2" borderId="57" xfId="7" applyNumberFormat="1" applyFont="1" applyFill="1" applyBorder="1" applyAlignment="1">
      <alignment horizontal="center" wrapText="1"/>
    </xf>
    <xf numFmtId="165" fontId="3" fillId="2" borderId="56" xfId="7" applyNumberFormat="1" applyFont="1" applyFill="1" applyBorder="1" applyAlignment="1">
      <alignment horizontal="center" wrapText="1"/>
    </xf>
    <xf numFmtId="165" fontId="3" fillId="7" borderId="55" xfId="7" applyNumberFormat="1" applyFont="1" applyFill="1" applyBorder="1" applyAlignment="1">
      <alignment horizontal="center" wrapText="1"/>
    </xf>
    <xf numFmtId="165" fontId="3" fillId="7" borderId="57" xfId="7" applyNumberFormat="1" applyFont="1" applyFill="1" applyBorder="1" applyAlignment="1">
      <alignment horizontal="center" wrapText="1"/>
    </xf>
    <xf numFmtId="165" fontId="3" fillId="7" borderId="56" xfId="7" applyNumberFormat="1" applyFont="1" applyFill="1" applyBorder="1" applyAlignment="1">
      <alignment horizontal="center" wrapText="1"/>
    </xf>
    <xf numFmtId="165" fontId="3" fillId="7" borderId="58" xfId="7" applyNumberFormat="1" applyFont="1" applyFill="1" applyBorder="1" applyAlignment="1">
      <alignment horizontal="center" wrapText="1"/>
    </xf>
    <xf numFmtId="165" fontId="3" fillId="8" borderId="59" xfId="7" applyNumberFormat="1" applyFont="1" applyFill="1" applyBorder="1" applyAlignment="1">
      <alignment horizontal="center" wrapText="1"/>
    </xf>
    <xf numFmtId="165" fontId="3" fillId="8" borderId="57" xfId="7" applyNumberFormat="1" applyFont="1" applyFill="1" applyBorder="1" applyAlignment="1">
      <alignment horizontal="center" wrapText="1"/>
    </xf>
    <xf numFmtId="165" fontId="3" fillId="8" borderId="56" xfId="7" applyNumberFormat="1" applyFont="1" applyFill="1" applyBorder="1" applyAlignment="1">
      <alignment horizontal="center" wrapText="1"/>
    </xf>
    <xf numFmtId="165" fontId="3" fillId="8" borderId="58" xfId="7" applyNumberFormat="1" applyFont="1" applyFill="1" applyBorder="1" applyAlignment="1">
      <alignment horizontal="center" wrapText="1"/>
    </xf>
    <xf numFmtId="165" fontId="3" fillId="3" borderId="59" xfId="7" applyNumberFormat="1" applyFont="1" applyFill="1" applyBorder="1" applyAlignment="1">
      <alignment horizontal="center" wrapText="1"/>
    </xf>
    <xf numFmtId="165" fontId="3" fillId="3" borderId="57" xfId="7" applyNumberFormat="1" applyFont="1" applyFill="1" applyBorder="1" applyAlignment="1">
      <alignment horizontal="center" wrapText="1"/>
    </xf>
    <xf numFmtId="165" fontId="3" fillId="3" borderId="56" xfId="7" applyNumberFormat="1" applyFont="1" applyFill="1" applyBorder="1" applyAlignment="1">
      <alignment horizontal="center" wrapText="1"/>
    </xf>
    <xf numFmtId="165" fontId="3" fillId="3" borderId="58" xfId="7" applyNumberFormat="1" applyFont="1" applyFill="1" applyBorder="1" applyAlignment="1">
      <alignment horizontal="center" wrapText="1"/>
    </xf>
    <xf numFmtId="165" fontId="3" fillId="9" borderId="59" xfId="7" applyNumberFormat="1" applyFont="1" applyFill="1" applyBorder="1" applyAlignment="1">
      <alignment horizontal="center" wrapText="1"/>
    </xf>
    <xf numFmtId="165" fontId="3" fillId="9" borderId="57" xfId="7" applyNumberFormat="1" applyFont="1" applyFill="1" applyBorder="1" applyAlignment="1">
      <alignment horizontal="center" wrapText="1"/>
    </xf>
    <xf numFmtId="165" fontId="3" fillId="9" borderId="56" xfId="7" applyNumberFormat="1" applyFont="1" applyFill="1" applyBorder="1" applyAlignment="1">
      <alignment horizontal="center" wrapText="1"/>
    </xf>
    <xf numFmtId="165" fontId="3" fillId="9" borderId="58" xfId="7" applyNumberFormat="1" applyFont="1" applyFill="1" applyBorder="1" applyAlignment="1">
      <alignment horizontal="center" wrapText="1"/>
    </xf>
    <xf numFmtId="165" fontId="3" fillId="10" borderId="59" xfId="7" applyNumberFormat="1" applyFont="1" applyFill="1" applyBorder="1" applyAlignment="1">
      <alignment horizontal="center" wrapText="1"/>
    </xf>
    <xf numFmtId="165" fontId="3" fillId="10" borderId="57" xfId="7" applyNumberFormat="1" applyFont="1" applyFill="1" applyBorder="1" applyAlignment="1">
      <alignment horizontal="center" wrapText="1"/>
    </xf>
    <xf numFmtId="165" fontId="3" fillId="10" borderId="56" xfId="7" applyNumberFormat="1" applyFont="1" applyFill="1" applyBorder="1" applyAlignment="1">
      <alignment horizontal="center" wrapText="1"/>
    </xf>
    <xf numFmtId="165" fontId="3" fillId="10" borderId="58" xfId="7" applyNumberFormat="1" applyFont="1" applyFill="1" applyBorder="1" applyAlignment="1">
      <alignment horizontal="center" wrapText="1"/>
    </xf>
    <xf numFmtId="0" fontId="3" fillId="11" borderId="62" xfId="4" applyFont="1" applyFill="1" applyBorder="1" applyAlignment="1">
      <alignment horizontal="center"/>
    </xf>
    <xf numFmtId="0" fontId="3" fillId="11" borderId="63" xfId="4" applyFont="1" applyFill="1" applyBorder="1"/>
    <xf numFmtId="164" fontId="2" fillId="2" borderId="62" xfId="9" applyNumberFormat="1" applyFont="1" applyFill="1" applyBorder="1"/>
    <xf numFmtId="165" fontId="2" fillId="2" borderId="64" xfId="7" applyNumberFormat="1" applyFont="1" applyFill="1" applyBorder="1"/>
    <xf numFmtId="165" fontId="2" fillId="2" borderId="63" xfId="7" applyNumberFormat="1" applyFont="1" applyFill="1" applyBorder="1" applyAlignment="1">
      <alignment wrapText="1"/>
    </xf>
    <xf numFmtId="165" fontId="2" fillId="7" borderId="62" xfId="7" applyNumberFormat="1" applyFont="1" applyFill="1" applyBorder="1" applyAlignment="1">
      <alignment wrapText="1"/>
    </xf>
    <xf numFmtId="165" fontId="2" fillId="7" borderId="64" xfId="7" applyNumberFormat="1" applyFont="1" applyFill="1" applyBorder="1" applyAlignment="1">
      <alignment wrapText="1"/>
    </xf>
    <xf numFmtId="165" fontId="2" fillId="7" borderId="63" xfId="7" applyNumberFormat="1" applyFont="1" applyFill="1" applyBorder="1" applyAlignment="1">
      <alignment wrapText="1"/>
    </xf>
    <xf numFmtId="165" fontId="2" fillId="7" borderId="66" xfId="7" applyNumberFormat="1" applyFont="1" applyFill="1" applyBorder="1" applyAlignment="1">
      <alignment wrapText="1"/>
    </xf>
    <xf numFmtId="165" fontId="2" fillId="8" borderId="67" xfId="7" applyNumberFormat="1" applyFont="1" applyFill="1" applyBorder="1" applyAlignment="1">
      <alignment wrapText="1"/>
    </xf>
    <xf numFmtId="165" fontId="2" fillId="8" borderId="64" xfId="7" applyNumberFormat="1" applyFont="1" applyFill="1" applyBorder="1" applyAlignment="1">
      <alignment wrapText="1"/>
    </xf>
    <xf numFmtId="165" fontId="2" fillId="8" borderId="63" xfId="7" applyNumberFormat="1" applyFont="1" applyFill="1" applyBorder="1" applyAlignment="1">
      <alignment wrapText="1"/>
    </xf>
    <xf numFmtId="165" fontId="2" fillId="8" borderId="65" xfId="7" applyNumberFormat="1" applyFont="1" applyFill="1" applyBorder="1" applyAlignment="1">
      <alignment wrapText="1"/>
    </xf>
    <xf numFmtId="165" fontId="2" fillId="3" borderId="67" xfId="7" applyNumberFormat="1" applyFont="1" applyFill="1" applyBorder="1" applyAlignment="1">
      <alignment wrapText="1"/>
    </xf>
    <xf numFmtId="165" fontId="2" fillId="3" borderId="64" xfId="7" applyNumberFormat="1" applyFont="1" applyFill="1" applyBorder="1" applyAlignment="1">
      <alignment wrapText="1"/>
    </xf>
    <xf numFmtId="165" fontId="2" fillId="3" borderId="63" xfId="7" applyNumberFormat="1" applyFont="1" applyFill="1" applyBorder="1" applyAlignment="1">
      <alignment wrapText="1"/>
    </xf>
    <xf numFmtId="165" fontId="2" fillId="3" borderId="65" xfId="7" applyNumberFormat="1" applyFont="1" applyFill="1" applyBorder="1" applyAlignment="1">
      <alignment wrapText="1"/>
    </xf>
    <xf numFmtId="165" fontId="2" fillId="9" borderId="67" xfId="7" applyNumberFormat="1" applyFont="1" applyFill="1" applyBorder="1" applyAlignment="1">
      <alignment wrapText="1"/>
    </xf>
    <xf numFmtId="165" fontId="2" fillId="9" borderId="64" xfId="7" applyNumberFormat="1" applyFont="1" applyFill="1" applyBorder="1" applyAlignment="1">
      <alignment wrapText="1"/>
    </xf>
    <xf numFmtId="165" fontId="2" fillId="9" borderId="63" xfId="7" applyNumberFormat="1" applyFont="1" applyFill="1" applyBorder="1" applyAlignment="1">
      <alignment wrapText="1"/>
    </xf>
    <xf numFmtId="165" fontId="2" fillId="9" borderId="65" xfId="7" applyNumberFormat="1" applyFont="1" applyFill="1" applyBorder="1" applyAlignment="1">
      <alignment wrapText="1"/>
    </xf>
    <xf numFmtId="165" fontId="2" fillId="10" borderId="67" xfId="7" applyNumberFormat="1" applyFont="1" applyFill="1" applyBorder="1" applyAlignment="1">
      <alignment wrapText="1"/>
    </xf>
    <xf numFmtId="165" fontId="2" fillId="10" borderId="64" xfId="7" applyNumberFormat="1" applyFont="1" applyFill="1" applyBorder="1" applyAlignment="1">
      <alignment wrapText="1"/>
    </xf>
    <xf numFmtId="165" fontId="2" fillId="10" borderId="63" xfId="7" applyNumberFormat="1" applyFont="1" applyFill="1" applyBorder="1" applyAlignment="1">
      <alignment wrapText="1"/>
    </xf>
    <xf numFmtId="165" fontId="2" fillId="10" borderId="65" xfId="7" applyNumberFormat="1" applyFont="1" applyFill="1" applyBorder="1" applyAlignment="1">
      <alignment wrapText="1"/>
    </xf>
    <xf numFmtId="165" fontId="2" fillId="2" borderId="68" xfId="7" applyNumberFormat="1" applyFont="1" applyFill="1" applyBorder="1" applyAlignment="1">
      <alignment wrapText="1"/>
    </xf>
    <xf numFmtId="0" fontId="2" fillId="11" borderId="69" xfId="4" applyFont="1" applyFill="1" applyBorder="1" applyAlignment="1">
      <alignment horizontal="center" vertical="top"/>
    </xf>
    <xf numFmtId="0" fontId="2" fillId="11" borderId="70" xfId="4" applyFont="1" applyFill="1" applyBorder="1" applyAlignment="1">
      <alignment vertical="top"/>
    </xf>
    <xf numFmtId="164" fontId="2" fillId="2" borderId="69" xfId="9" applyNumberFormat="1" applyFont="1" applyFill="1" applyBorder="1" applyAlignment="1">
      <alignment vertical="top"/>
    </xf>
    <xf numFmtId="165" fontId="2" fillId="2" borderId="45" xfId="4" applyNumberFormat="1" applyFont="1" applyFill="1" applyBorder="1" applyAlignment="1">
      <alignment vertical="top"/>
    </xf>
    <xf numFmtId="165" fontId="2" fillId="2" borderId="70" xfId="7" applyNumberFormat="1" applyFont="1" applyFill="1" applyBorder="1" applyAlignment="1">
      <alignment vertical="top" wrapText="1"/>
    </xf>
    <xf numFmtId="164" fontId="2" fillId="7" borderId="69" xfId="1" applyNumberFormat="1" applyFont="1" applyFill="1" applyBorder="1" applyAlignment="1">
      <alignment vertical="top" wrapText="1"/>
    </xf>
    <xf numFmtId="165" fontId="2" fillId="7" borderId="45" xfId="7" applyNumberFormat="1" applyFont="1" applyFill="1" applyBorder="1" applyAlignment="1">
      <alignment vertical="top" wrapText="1"/>
    </xf>
    <xf numFmtId="165" fontId="2" fillId="7" borderId="70" xfId="7" applyNumberFormat="1" applyFont="1" applyFill="1" applyBorder="1" applyAlignment="1">
      <alignment vertical="top" wrapText="1"/>
    </xf>
    <xf numFmtId="165" fontId="2" fillId="7" borderId="71" xfId="7" applyNumberFormat="1" applyFont="1" applyFill="1" applyBorder="1" applyAlignment="1">
      <alignment vertical="top" wrapText="1"/>
    </xf>
    <xf numFmtId="164" fontId="2" fillId="8" borderId="72" xfId="1" applyNumberFormat="1" applyFont="1" applyFill="1" applyBorder="1" applyAlignment="1">
      <alignment vertical="top" wrapText="1"/>
    </xf>
    <xf numFmtId="165" fontId="2" fillId="8" borderId="45" xfId="7" applyNumberFormat="1" applyFont="1" applyFill="1" applyBorder="1" applyAlignment="1">
      <alignment vertical="top" wrapText="1"/>
    </xf>
    <xf numFmtId="165" fontId="2" fillId="8" borderId="70" xfId="7" applyNumberFormat="1" applyFont="1" applyFill="1" applyBorder="1" applyAlignment="1">
      <alignment vertical="top" wrapText="1"/>
    </xf>
    <xf numFmtId="165" fontId="2" fillId="8" borderId="71" xfId="7" applyNumberFormat="1" applyFont="1" applyFill="1" applyBorder="1" applyAlignment="1">
      <alignment vertical="top" wrapText="1"/>
    </xf>
    <xf numFmtId="164" fontId="2" fillId="3" borderId="72" xfId="1" applyNumberFormat="1" applyFont="1" applyFill="1" applyBorder="1" applyAlignment="1">
      <alignment vertical="top" wrapText="1"/>
    </xf>
    <xf numFmtId="165" fontId="2" fillId="3" borderId="45" xfId="7" applyNumberFormat="1" applyFont="1" applyFill="1" applyBorder="1" applyAlignment="1">
      <alignment vertical="top" wrapText="1"/>
    </xf>
    <xf numFmtId="165" fontId="2" fillId="3" borderId="70" xfId="7" applyNumberFormat="1" applyFont="1" applyFill="1" applyBorder="1" applyAlignment="1">
      <alignment vertical="top" wrapText="1"/>
    </xf>
    <xf numFmtId="165" fontId="2" fillId="3" borderId="71" xfId="7" applyNumberFormat="1" applyFont="1" applyFill="1" applyBorder="1" applyAlignment="1">
      <alignment vertical="top" wrapText="1"/>
    </xf>
    <xf numFmtId="164" fontId="2" fillId="9" borderId="72" xfId="1" applyNumberFormat="1" applyFont="1" applyFill="1" applyBorder="1" applyAlignment="1">
      <alignment vertical="top" wrapText="1"/>
    </xf>
    <xf numFmtId="165" fontId="2" fillId="9" borderId="45" xfId="7" applyNumberFormat="1" applyFont="1" applyFill="1" applyBorder="1" applyAlignment="1">
      <alignment vertical="top" wrapText="1"/>
    </xf>
    <xf numFmtId="165" fontId="2" fillId="9" borderId="70" xfId="7" applyNumberFormat="1" applyFont="1" applyFill="1" applyBorder="1" applyAlignment="1">
      <alignment vertical="top" wrapText="1"/>
    </xf>
    <xf numFmtId="165" fontId="2" fillId="9" borderId="71" xfId="7" applyNumberFormat="1" applyFont="1" applyFill="1" applyBorder="1" applyAlignment="1">
      <alignment vertical="top" wrapText="1"/>
    </xf>
    <xf numFmtId="164" fontId="2" fillId="10" borderId="72" xfId="1" applyNumberFormat="1" applyFont="1" applyFill="1" applyBorder="1" applyAlignment="1">
      <alignment vertical="top" wrapText="1"/>
    </xf>
    <xf numFmtId="165" fontId="2" fillId="10" borderId="45" xfId="7" applyNumberFormat="1" applyFont="1" applyFill="1" applyBorder="1" applyAlignment="1">
      <alignment vertical="top" wrapText="1"/>
    </xf>
    <xf numFmtId="165" fontId="2" fillId="10" borderId="70" xfId="7" applyNumberFormat="1" applyFont="1" applyFill="1" applyBorder="1" applyAlignment="1">
      <alignment vertical="top" wrapText="1"/>
    </xf>
    <xf numFmtId="165" fontId="2" fillId="10" borderId="71" xfId="7" applyNumberFormat="1" applyFont="1" applyFill="1" applyBorder="1" applyAlignment="1">
      <alignment vertical="top" wrapText="1"/>
    </xf>
    <xf numFmtId="165" fontId="2" fillId="2" borderId="73" xfId="7" applyNumberFormat="1" applyFont="1" applyFill="1" applyBorder="1" applyAlignment="1">
      <alignment vertical="top" wrapText="1"/>
    </xf>
    <xf numFmtId="0" fontId="2" fillId="11" borderId="70" xfId="4" applyFont="1" applyFill="1" applyBorder="1" applyAlignment="1">
      <alignment vertical="top" wrapText="1"/>
    </xf>
    <xf numFmtId="0" fontId="2" fillId="7" borderId="71" xfId="4" applyFont="1" applyFill="1" applyBorder="1" applyAlignment="1">
      <alignment vertical="top" wrapText="1"/>
    </xf>
    <xf numFmtId="165" fontId="2" fillId="8" borderId="72" xfId="7" applyNumberFormat="1" applyFont="1" applyFill="1" applyBorder="1" applyAlignment="1">
      <alignment vertical="top" wrapText="1"/>
    </xf>
    <xf numFmtId="165" fontId="2" fillId="3" borderId="72" xfId="7" applyNumberFormat="1" applyFont="1" applyFill="1" applyBorder="1" applyAlignment="1">
      <alignment vertical="top" wrapText="1"/>
    </xf>
    <xf numFmtId="0" fontId="2" fillId="0" borderId="0" xfId="0" applyFont="1" applyAlignment="1">
      <alignment vertical="top"/>
    </xf>
    <xf numFmtId="0" fontId="2" fillId="11" borderId="74" xfId="4" applyFont="1" applyFill="1" applyBorder="1" applyAlignment="1">
      <alignment horizontal="center" vertical="top"/>
    </xf>
    <xf numFmtId="164" fontId="2" fillId="2" borderId="74" xfId="9" applyNumberFormat="1" applyFont="1" applyFill="1" applyBorder="1" applyAlignment="1">
      <alignment vertical="top"/>
    </xf>
    <xf numFmtId="165" fontId="2" fillId="2" borderId="76" xfId="4" applyNumberFormat="1" applyFont="1" applyFill="1" applyBorder="1" applyAlignment="1">
      <alignment vertical="top"/>
    </xf>
    <xf numFmtId="165" fontId="2" fillId="2" borderId="75" xfId="7" applyNumberFormat="1" applyFont="1" applyFill="1" applyBorder="1" applyAlignment="1">
      <alignment vertical="top" wrapText="1"/>
    </xf>
    <xf numFmtId="164" fontId="2" fillId="7" borderId="74" xfId="1" applyNumberFormat="1" applyFont="1" applyFill="1" applyBorder="1" applyAlignment="1">
      <alignment vertical="top" wrapText="1"/>
    </xf>
    <xf numFmtId="165" fontId="2" fillId="7" borderId="77" xfId="7" applyNumberFormat="1" applyFont="1" applyFill="1" applyBorder="1" applyAlignment="1">
      <alignment vertical="top" wrapText="1"/>
    </xf>
    <xf numFmtId="165" fontId="2" fillId="8" borderId="78" xfId="7" applyNumberFormat="1" applyFont="1" applyFill="1" applyBorder="1" applyAlignment="1">
      <alignment vertical="top" wrapText="1"/>
    </xf>
    <xf numFmtId="165" fontId="2" fillId="8" borderId="76" xfId="7" applyNumberFormat="1" applyFont="1" applyFill="1" applyBorder="1" applyAlignment="1">
      <alignment vertical="top" wrapText="1"/>
    </xf>
    <xf numFmtId="165" fontId="2" fillId="8" borderId="75" xfId="7" applyNumberFormat="1" applyFont="1" applyFill="1" applyBorder="1" applyAlignment="1">
      <alignment vertical="top" wrapText="1"/>
    </xf>
    <xf numFmtId="165" fontId="2" fillId="8" borderId="77" xfId="7" applyNumberFormat="1" applyFont="1" applyFill="1" applyBorder="1" applyAlignment="1">
      <alignment vertical="top" wrapText="1"/>
    </xf>
    <xf numFmtId="165" fontId="2" fillId="3" borderId="76" xfId="7" applyNumberFormat="1" applyFont="1" applyFill="1" applyBorder="1" applyAlignment="1">
      <alignment vertical="top" wrapText="1"/>
    </xf>
    <xf numFmtId="165" fontId="2" fillId="3" borderId="75" xfId="7" applyNumberFormat="1" applyFont="1" applyFill="1" applyBorder="1" applyAlignment="1">
      <alignment vertical="top" wrapText="1"/>
    </xf>
    <xf numFmtId="165" fontId="2" fillId="3" borderId="77" xfId="7" applyNumberFormat="1" applyFont="1" applyFill="1" applyBorder="1" applyAlignment="1">
      <alignment vertical="top" wrapText="1"/>
    </xf>
    <xf numFmtId="165" fontId="2" fillId="9" borderId="76" xfId="7" applyNumberFormat="1" applyFont="1" applyFill="1" applyBorder="1" applyAlignment="1">
      <alignment vertical="top" wrapText="1"/>
    </xf>
    <xf numFmtId="165" fontId="2" fillId="9" borderId="75" xfId="7" applyNumberFormat="1" applyFont="1" applyFill="1" applyBorder="1" applyAlignment="1">
      <alignment vertical="top" wrapText="1"/>
    </xf>
    <xf numFmtId="165" fontId="2" fillId="9" borderId="77" xfId="7" applyNumberFormat="1" applyFont="1" applyFill="1" applyBorder="1" applyAlignment="1">
      <alignment vertical="top" wrapText="1"/>
    </xf>
    <xf numFmtId="165" fontId="2" fillId="10" borderId="76" xfId="7" applyNumberFormat="1" applyFont="1" applyFill="1" applyBorder="1" applyAlignment="1">
      <alignment vertical="top" wrapText="1"/>
    </xf>
    <xf numFmtId="165" fontId="2" fillId="10" borderId="75" xfId="7" applyNumberFormat="1" applyFont="1" applyFill="1" applyBorder="1" applyAlignment="1">
      <alignment vertical="top" wrapText="1"/>
    </xf>
    <xf numFmtId="165" fontId="2" fillId="10" borderId="77" xfId="7" applyNumberFormat="1" applyFont="1" applyFill="1" applyBorder="1" applyAlignment="1">
      <alignment vertical="top" wrapText="1"/>
    </xf>
    <xf numFmtId="165" fontId="2" fillId="0" borderId="0" xfId="0" applyNumberFormat="1" applyFont="1" applyAlignment="1">
      <alignment vertical="top"/>
    </xf>
    <xf numFmtId="0" fontId="2" fillId="11" borderId="79" xfId="4" applyFont="1" applyFill="1" applyBorder="1" applyAlignment="1">
      <alignment horizontal="center"/>
    </xf>
    <xf numFmtId="0" fontId="3" fillId="11" borderId="80" xfId="4" applyFont="1" applyFill="1" applyBorder="1" applyAlignment="1">
      <alignment horizontal="right"/>
    </xf>
    <xf numFmtId="164" fontId="3" fillId="2" borderId="79" xfId="9" applyNumberFormat="1" applyFont="1" applyFill="1" applyBorder="1"/>
    <xf numFmtId="165" fontId="3" fillId="2" borderId="81" xfId="7" applyNumberFormat="1" applyFont="1" applyFill="1" applyBorder="1"/>
    <xf numFmtId="165" fontId="3" fillId="2" borderId="80" xfId="7" applyNumberFormat="1" applyFont="1" applyFill="1" applyBorder="1"/>
    <xf numFmtId="164" fontId="3" fillId="7" borderId="79" xfId="1" applyNumberFormat="1" applyFont="1" applyFill="1" applyBorder="1"/>
    <xf numFmtId="165" fontId="3" fillId="7" borderId="81" xfId="7" applyNumberFormat="1" applyFont="1" applyFill="1" applyBorder="1"/>
    <xf numFmtId="165" fontId="3" fillId="7" borderId="80" xfId="7" applyNumberFormat="1" applyFont="1" applyFill="1" applyBorder="1"/>
    <xf numFmtId="165" fontId="3" fillId="7" borderId="77" xfId="7" applyNumberFormat="1" applyFont="1" applyFill="1" applyBorder="1"/>
    <xf numFmtId="164" fontId="3" fillId="8" borderId="83" xfId="1" applyNumberFormat="1" applyFont="1" applyFill="1" applyBorder="1"/>
    <xf numFmtId="165" fontId="3" fillId="8" borderId="81" xfId="7" applyNumberFormat="1" applyFont="1" applyFill="1" applyBorder="1"/>
    <xf numFmtId="165" fontId="3" fillId="8" borderId="80" xfId="7" applyNumberFormat="1" applyFont="1" applyFill="1" applyBorder="1"/>
    <xf numFmtId="165" fontId="3" fillId="8" borderId="84" xfId="7" applyNumberFormat="1" applyFont="1" applyFill="1" applyBorder="1"/>
    <xf numFmtId="164" fontId="3" fillId="3" borderId="83" xfId="1" applyNumberFormat="1" applyFont="1" applyFill="1" applyBorder="1"/>
    <xf numFmtId="165" fontId="3" fillId="3" borderId="81" xfId="7" applyNumberFormat="1" applyFont="1" applyFill="1" applyBorder="1"/>
    <xf numFmtId="165" fontId="3" fillId="3" borderId="80" xfId="7" applyNumberFormat="1" applyFont="1" applyFill="1" applyBorder="1"/>
    <xf numFmtId="165" fontId="3" fillId="3" borderId="84" xfId="7" applyNumberFormat="1" applyFont="1" applyFill="1" applyBorder="1"/>
    <xf numFmtId="164" fontId="3" fillId="9" borderId="83" xfId="1" applyNumberFormat="1" applyFont="1" applyFill="1" applyBorder="1"/>
    <xf numFmtId="165" fontId="3" fillId="9" borderId="81" xfId="7" applyNumberFormat="1" applyFont="1" applyFill="1" applyBorder="1"/>
    <xf numFmtId="165" fontId="3" fillId="9" borderId="80" xfId="7" applyNumberFormat="1" applyFont="1" applyFill="1" applyBorder="1"/>
    <xf numFmtId="165" fontId="3" fillId="9" borderId="84" xfId="7" applyNumberFormat="1" applyFont="1" applyFill="1" applyBorder="1"/>
    <xf numFmtId="164" fontId="3" fillId="10" borderId="83" xfId="1" applyNumberFormat="1" applyFont="1" applyFill="1" applyBorder="1"/>
    <xf numFmtId="165" fontId="3" fillId="10" borderId="81" xfId="7" applyNumberFormat="1" applyFont="1" applyFill="1" applyBorder="1"/>
    <xf numFmtId="165" fontId="3" fillId="10" borderId="80" xfId="7" applyNumberFormat="1" applyFont="1" applyFill="1" applyBorder="1"/>
    <xf numFmtId="165" fontId="3" fillId="10" borderId="84" xfId="7" applyNumberFormat="1" applyFont="1" applyFill="1" applyBorder="1"/>
    <xf numFmtId="165" fontId="3" fillId="2" borderId="82" xfId="7" applyNumberFormat="1" applyFont="1" applyFill="1" applyBorder="1" applyAlignment="1">
      <alignment wrapText="1"/>
    </xf>
    <xf numFmtId="165" fontId="2" fillId="7" borderId="65" xfId="7" applyNumberFormat="1" applyFont="1" applyFill="1" applyBorder="1" applyAlignment="1">
      <alignment wrapText="1"/>
    </xf>
    <xf numFmtId="0" fontId="3" fillId="11" borderId="79" xfId="4" applyFont="1" applyFill="1" applyBorder="1" applyAlignment="1">
      <alignment horizontal="center"/>
    </xf>
    <xf numFmtId="165" fontId="3" fillId="7" borderId="84" xfId="7" applyNumberFormat="1" applyFont="1" applyFill="1" applyBorder="1"/>
    <xf numFmtId="165" fontId="3" fillId="2" borderId="82" xfId="7" applyNumberFormat="1" applyFont="1" applyFill="1" applyBorder="1"/>
    <xf numFmtId="165" fontId="3" fillId="7" borderId="81" xfId="2" applyNumberFormat="1" applyFont="1" applyFill="1" applyBorder="1"/>
    <xf numFmtId="165" fontId="3" fillId="8" borderId="81" xfId="2" applyNumberFormat="1" applyFont="1" applyFill="1" applyBorder="1"/>
    <xf numFmtId="165" fontId="3" fillId="3" borderId="81" xfId="2" applyNumberFormat="1" applyFont="1" applyFill="1" applyBorder="1"/>
    <xf numFmtId="165" fontId="3" fillId="9" borderId="81" xfId="2" applyNumberFormat="1" applyFont="1" applyFill="1" applyBorder="1"/>
    <xf numFmtId="165" fontId="3" fillId="10" borderId="81" xfId="2" applyNumberFormat="1" applyFont="1" applyFill="1" applyBorder="1"/>
    <xf numFmtId="0" fontId="3" fillId="0" borderId="0" xfId="4" applyFont="1" applyAlignment="1">
      <alignment horizontal="right"/>
    </xf>
    <xf numFmtId="164" fontId="3" fillId="0" borderId="0" xfId="9" applyNumberFormat="1" applyFont="1"/>
    <xf numFmtId="165" fontId="3" fillId="0" borderId="0" xfId="7" applyNumberFormat="1" applyFont="1"/>
    <xf numFmtId="165" fontId="3" fillId="0" borderId="0" xfId="7" applyNumberFormat="1" applyFont="1" applyFill="1"/>
    <xf numFmtId="0" fontId="3" fillId="11" borderId="48" xfId="4" applyFont="1" applyFill="1" applyBorder="1" applyAlignment="1">
      <alignment horizontal="right"/>
    </xf>
    <xf numFmtId="164" fontId="3" fillId="2" borderId="55" xfId="9" applyNumberFormat="1" applyFont="1" applyFill="1" applyBorder="1"/>
    <xf numFmtId="165" fontId="3" fillId="2" borderId="57" xfId="7" applyNumberFormat="1" applyFont="1" applyFill="1" applyBorder="1"/>
    <xf numFmtId="165" fontId="3" fillId="2" borderId="56" xfId="7" applyNumberFormat="1" applyFont="1" applyFill="1" applyBorder="1"/>
    <xf numFmtId="165" fontId="3" fillId="2" borderId="58" xfId="7" applyNumberFormat="1" applyFont="1" applyFill="1" applyBorder="1"/>
    <xf numFmtId="165" fontId="3" fillId="0" borderId="85" xfId="7" applyNumberFormat="1" applyFont="1" applyFill="1" applyBorder="1"/>
    <xf numFmtId="164" fontId="3" fillId="7" borderId="48" xfId="1" applyNumberFormat="1" applyFont="1" applyFill="1" applyBorder="1"/>
    <xf numFmtId="165" fontId="3" fillId="7" borderId="56" xfId="7" applyNumberFormat="1" applyFont="1" applyFill="1" applyBorder="1"/>
    <xf numFmtId="165" fontId="3" fillId="7" borderId="58" xfId="7" applyNumberFormat="1" applyFont="1" applyFill="1" applyBorder="1"/>
    <xf numFmtId="164" fontId="3" fillId="8" borderId="48" xfId="1" applyNumberFormat="1" applyFont="1" applyFill="1" applyBorder="1"/>
    <xf numFmtId="165" fontId="3" fillId="8" borderId="56" xfId="7" applyNumberFormat="1" applyFont="1" applyFill="1" applyBorder="1"/>
    <xf numFmtId="165" fontId="3" fillId="8" borderId="58" xfId="7" applyNumberFormat="1" applyFont="1" applyFill="1" applyBorder="1"/>
    <xf numFmtId="164" fontId="3" fillId="3" borderId="48" xfId="1" applyNumberFormat="1" applyFont="1" applyFill="1" applyBorder="1"/>
    <xf numFmtId="165" fontId="3" fillId="3" borderId="56" xfId="7" applyNumberFormat="1" applyFont="1" applyFill="1" applyBorder="1"/>
    <xf numFmtId="165" fontId="3" fillId="3" borderId="58" xfId="7" applyNumberFormat="1" applyFont="1" applyFill="1" applyBorder="1"/>
    <xf numFmtId="164" fontId="3" fillId="9" borderId="48" xfId="1" applyNumberFormat="1" applyFont="1" applyFill="1" applyBorder="1"/>
    <xf numFmtId="165" fontId="3" fillId="9" borderId="56" xfId="7" applyNumberFormat="1" applyFont="1" applyFill="1" applyBorder="1"/>
    <xf numFmtId="165" fontId="3" fillId="9" borderId="58" xfId="7" applyNumberFormat="1" applyFont="1" applyFill="1" applyBorder="1"/>
    <xf numFmtId="164" fontId="3" fillId="10" borderId="48" xfId="1" applyNumberFormat="1" applyFont="1" applyFill="1" applyBorder="1"/>
    <xf numFmtId="165" fontId="3" fillId="10" borderId="56" xfId="7" applyNumberFormat="1" applyFont="1" applyFill="1" applyBorder="1"/>
    <xf numFmtId="165" fontId="3" fillId="10" borderId="58" xfId="7" applyNumberFormat="1" applyFont="1" applyFill="1" applyBorder="1"/>
    <xf numFmtId="165" fontId="3" fillId="2" borderId="60" xfId="7" applyNumberFormat="1" applyFont="1" applyFill="1" applyBorder="1"/>
    <xf numFmtId="164" fontId="3" fillId="2" borderId="55" xfId="9" applyNumberFormat="1" applyFont="1" applyFill="1" applyBorder="1" applyAlignment="1">
      <alignment horizontal="center" wrapText="1"/>
    </xf>
    <xf numFmtId="165" fontId="2" fillId="9" borderId="71" xfId="7" applyNumberFormat="1" applyFont="1" applyFill="1" applyBorder="1" applyAlignment="1">
      <alignment horizontal="left" vertical="top" wrapText="1"/>
    </xf>
    <xf numFmtId="0" fontId="18" fillId="0" borderId="6" xfId="0" applyFont="1" applyBorder="1" applyAlignment="1">
      <alignment horizontal="left" indent="2"/>
    </xf>
    <xf numFmtId="0" fontId="18" fillId="0" borderId="6" xfId="0" quotePrefix="1" applyFont="1" applyFill="1" applyBorder="1" applyAlignment="1" applyProtection="1">
      <alignment horizontal="left" wrapText="1" indent="2"/>
    </xf>
    <xf numFmtId="0" fontId="18" fillId="0" borderId="6" xfId="0" applyFont="1" applyBorder="1" applyAlignment="1" applyProtection="1">
      <alignment horizontal="left" indent="2"/>
    </xf>
    <xf numFmtId="165" fontId="2" fillId="0" borderId="91" xfId="2" applyNumberFormat="1" applyFont="1" applyFill="1" applyBorder="1" applyProtection="1"/>
    <xf numFmtId="0" fontId="3" fillId="2" borderId="90" xfId="4" applyFont="1" applyFill="1" applyBorder="1" applyAlignment="1">
      <alignment horizontal="center" wrapText="1"/>
    </xf>
    <xf numFmtId="0" fontId="2" fillId="2" borderId="65" xfId="4" applyFont="1" applyFill="1" applyBorder="1" applyAlignment="1">
      <alignment vertical="top"/>
    </xf>
    <xf numFmtId="0" fontId="2" fillId="2" borderId="71" xfId="4" applyFont="1" applyFill="1" applyBorder="1" applyAlignment="1">
      <alignment vertical="top" wrapText="1"/>
    </xf>
    <xf numFmtId="0" fontId="2" fillId="2" borderId="77" xfId="4" applyFont="1" applyFill="1" applyBorder="1" applyAlignment="1">
      <alignment vertical="top"/>
    </xf>
    <xf numFmtId="0" fontId="2" fillId="2" borderId="84" xfId="4" applyFont="1" applyFill="1" applyBorder="1" applyAlignment="1">
      <alignment vertical="top"/>
    </xf>
    <xf numFmtId="0" fontId="2" fillId="2" borderId="71" xfId="4" applyFont="1" applyFill="1" applyBorder="1" applyAlignment="1">
      <alignment vertical="top"/>
    </xf>
    <xf numFmtId="0" fontId="2" fillId="11" borderId="75" xfId="4" applyFont="1" applyFill="1" applyBorder="1" applyAlignment="1">
      <alignment vertical="top" wrapText="1"/>
    </xf>
    <xf numFmtId="0" fontId="0" fillId="0" borderId="0" xfId="6" applyFont="1" applyAlignment="1" applyProtection="1">
      <alignment horizontal="left" vertical="top" wrapText="1"/>
    </xf>
    <xf numFmtId="165" fontId="3" fillId="5" borderId="59" xfId="7" applyNumberFormat="1" applyFont="1" applyFill="1" applyBorder="1" applyAlignment="1">
      <alignment horizontal="center" wrapText="1"/>
    </xf>
    <xf numFmtId="165" fontId="3" fillId="5" borderId="57" xfId="7" applyNumberFormat="1" applyFont="1" applyFill="1" applyBorder="1" applyAlignment="1">
      <alignment horizontal="center" wrapText="1"/>
    </xf>
    <xf numFmtId="165" fontId="3" fillId="5" borderId="56" xfId="7" applyNumberFormat="1" applyFont="1" applyFill="1" applyBorder="1" applyAlignment="1">
      <alignment horizontal="center" wrapText="1"/>
    </xf>
    <xf numFmtId="165" fontId="3" fillId="5" borderId="58" xfId="7" applyNumberFormat="1" applyFont="1" applyFill="1" applyBorder="1" applyAlignment="1">
      <alignment horizontal="center" wrapText="1"/>
    </xf>
    <xf numFmtId="165" fontId="2" fillId="5" borderId="67" xfId="7" applyNumberFormat="1" applyFont="1" applyFill="1" applyBorder="1" applyAlignment="1">
      <alignment wrapText="1"/>
    </xf>
    <xf numFmtId="165" fontId="2" fillId="5" borderId="64" xfId="7" applyNumberFormat="1" applyFont="1" applyFill="1" applyBorder="1" applyAlignment="1">
      <alignment wrapText="1"/>
    </xf>
    <xf numFmtId="165" fontId="2" fillId="5" borderId="63" xfId="7" applyNumberFormat="1" applyFont="1" applyFill="1" applyBorder="1" applyAlignment="1">
      <alignment wrapText="1"/>
    </xf>
    <xf numFmtId="165" fontId="2" fillId="5" borderId="65" xfId="7" applyNumberFormat="1" applyFont="1" applyFill="1" applyBorder="1" applyAlignment="1">
      <alignment wrapText="1"/>
    </xf>
    <xf numFmtId="164" fontId="2" fillId="5" borderId="72" xfId="1" applyNumberFormat="1" applyFont="1" applyFill="1" applyBorder="1" applyAlignment="1">
      <alignment vertical="top" wrapText="1"/>
    </xf>
    <xf numFmtId="165" fontId="2" fillId="5" borderId="45" xfId="7" applyNumberFormat="1" applyFont="1" applyFill="1" applyBorder="1" applyAlignment="1">
      <alignment vertical="top" wrapText="1"/>
    </xf>
    <xf numFmtId="165" fontId="2" fillId="5" borderId="70" xfId="7" applyNumberFormat="1" applyFont="1" applyFill="1" applyBorder="1" applyAlignment="1">
      <alignment vertical="top" wrapText="1"/>
    </xf>
    <xf numFmtId="165" fontId="2" fillId="5" borderId="71" xfId="7" applyNumberFormat="1" applyFont="1" applyFill="1" applyBorder="1" applyAlignment="1">
      <alignment vertical="top" wrapText="1"/>
    </xf>
    <xf numFmtId="165" fontId="2" fillId="5" borderId="76" xfId="7" applyNumberFormat="1" applyFont="1" applyFill="1" applyBorder="1" applyAlignment="1">
      <alignment vertical="top" wrapText="1"/>
    </xf>
    <xf numFmtId="165" fontId="2" fillId="5" borderId="75" xfId="7" applyNumberFormat="1" applyFont="1" applyFill="1" applyBorder="1" applyAlignment="1">
      <alignment vertical="top" wrapText="1"/>
    </xf>
    <xf numFmtId="165" fontId="2" fillId="5" borderId="77" xfId="7" applyNumberFormat="1" applyFont="1" applyFill="1" applyBorder="1" applyAlignment="1">
      <alignment vertical="top" wrapText="1"/>
    </xf>
    <xf numFmtId="164" fontId="3" fillId="5" borderId="83" xfId="1" applyNumberFormat="1" applyFont="1" applyFill="1" applyBorder="1"/>
    <xf numFmtId="165" fontId="3" fillId="5" borderId="81" xfId="7" applyNumberFormat="1" applyFont="1" applyFill="1" applyBorder="1"/>
    <xf numFmtId="165" fontId="3" fillId="5" borderId="80" xfId="7" applyNumberFormat="1" applyFont="1" applyFill="1" applyBorder="1"/>
    <xf numFmtId="165" fontId="3" fillId="5" borderId="84" xfId="7" applyNumberFormat="1" applyFont="1" applyFill="1" applyBorder="1"/>
    <xf numFmtId="165" fontId="3" fillId="5" borderId="81" xfId="2" applyNumberFormat="1" applyFont="1" applyFill="1" applyBorder="1"/>
    <xf numFmtId="165" fontId="2" fillId="3" borderId="71" xfId="7" quotePrefix="1" applyNumberFormat="1" applyFont="1" applyFill="1" applyBorder="1" applyAlignment="1">
      <alignment vertical="top" wrapText="1"/>
    </xf>
    <xf numFmtId="0" fontId="4" fillId="7" borderId="71" xfId="7" applyNumberFormat="1" applyFont="1" applyFill="1" applyBorder="1" applyAlignment="1">
      <alignment vertical="top" wrapText="1"/>
    </xf>
    <xf numFmtId="1" fontId="2" fillId="0" borderId="0" xfId="0" applyNumberFormat="1" applyFont="1"/>
    <xf numFmtId="165" fontId="4" fillId="8" borderId="71" xfId="7" applyNumberFormat="1" applyFont="1" applyFill="1" applyBorder="1" applyAlignment="1">
      <alignment vertical="top" wrapText="1"/>
    </xf>
    <xf numFmtId="0" fontId="16" fillId="0" borderId="0" xfId="0" applyFont="1" applyAlignment="1" applyProtection="1"/>
    <xf numFmtId="0" fontId="16" fillId="0" borderId="0" xfId="0" applyFont="1" applyAlignment="1" applyProtection="1">
      <alignment horizontal="center"/>
    </xf>
    <xf numFmtId="0" fontId="4" fillId="0" borderId="0" xfId="0" applyFont="1" applyProtection="1"/>
    <xf numFmtId="0" fontId="4" fillId="0" borderId="0" xfId="0" applyFont="1" applyAlignment="1" applyProtection="1">
      <alignment horizontal="centerContinuous"/>
    </xf>
    <xf numFmtId="0" fontId="4" fillId="0" borderId="14" xfId="0" applyFont="1" applyBorder="1" applyAlignment="1" applyProtection="1"/>
    <xf numFmtId="0" fontId="4" fillId="0" borderId="0" xfId="0" applyFont="1" applyBorder="1" applyAlignment="1" applyProtection="1">
      <alignment horizontal="center"/>
    </xf>
    <xf numFmtId="0" fontId="4" fillId="0" borderId="1" xfId="0" applyFont="1" applyBorder="1" applyAlignment="1" applyProtection="1">
      <alignment horizontal="center"/>
    </xf>
    <xf numFmtId="0" fontId="4" fillId="0" borderId="0" xfId="0" applyFont="1" applyFill="1" applyBorder="1" applyAlignment="1" applyProtection="1">
      <alignment horizontal="center"/>
    </xf>
    <xf numFmtId="0" fontId="4" fillId="0" borderId="1" xfId="0" applyFont="1" applyBorder="1" applyAlignment="1" applyProtection="1"/>
    <xf numFmtId="0" fontId="4" fillId="0" borderId="0" xfId="0" applyFont="1" applyBorder="1" applyAlignment="1" applyProtection="1"/>
    <xf numFmtId="0" fontId="4" fillId="0" borderId="1" xfId="0" applyFont="1" applyBorder="1" applyProtection="1"/>
    <xf numFmtId="0" fontId="4" fillId="0" borderId="14" xfId="0" applyFont="1" applyBorder="1" applyAlignment="1" applyProtection="1">
      <alignment horizontal="center"/>
    </xf>
    <xf numFmtId="0" fontId="4" fillId="0" borderId="14" xfId="0" applyFont="1" applyBorder="1" applyProtection="1"/>
    <xf numFmtId="43" fontId="17" fillId="0" borderId="0" xfId="0" applyNumberFormat="1" applyFont="1" applyAlignment="1" applyProtection="1">
      <alignment horizontal="center"/>
    </xf>
    <xf numFmtId="9" fontId="2" fillId="0" borderId="14" xfId="0" applyNumberFormat="1" applyFont="1" applyBorder="1" applyProtection="1"/>
    <xf numFmtId="0" fontId="2" fillId="0" borderId="0" xfId="0" applyFont="1" applyBorder="1" applyProtection="1"/>
    <xf numFmtId="0" fontId="2" fillId="0" borderId="0" xfId="0" applyFont="1" applyBorder="1" applyAlignment="1" applyProtection="1">
      <alignment horizontal="right"/>
    </xf>
    <xf numFmtId="165" fontId="2" fillId="0" borderId="0" xfId="0" applyNumberFormat="1" applyFont="1" applyBorder="1" applyProtection="1"/>
    <xf numFmtId="165" fontId="2" fillId="0" borderId="1" xfId="2" applyNumberFormat="1" applyFont="1" applyBorder="1" applyProtection="1"/>
    <xf numFmtId="0" fontId="2" fillId="0" borderId="1" xfId="0" applyFont="1" applyBorder="1" applyProtection="1"/>
    <xf numFmtId="166" fontId="2" fillId="0" borderId="0" xfId="3" applyNumberFormat="1" applyFont="1" applyFill="1" applyBorder="1" applyProtection="1"/>
    <xf numFmtId="0" fontId="2" fillId="0" borderId="0" xfId="0" applyNumberFormat="1" applyFont="1" applyBorder="1" applyAlignment="1" applyProtection="1">
      <alignment horizontal="right"/>
    </xf>
    <xf numFmtId="9" fontId="2" fillId="0" borderId="0" xfId="3" applyFont="1" applyFill="1" applyBorder="1" applyProtection="1"/>
    <xf numFmtId="166" fontId="2" fillId="0" borderId="0" xfId="3" applyNumberFormat="1" applyFont="1" applyBorder="1" applyProtection="1"/>
    <xf numFmtId="0" fontId="3" fillId="0" borderId="0" xfId="0" applyFont="1" applyBorder="1" applyAlignment="1" applyProtection="1">
      <alignment horizontal="right"/>
    </xf>
    <xf numFmtId="165" fontId="3" fillId="0" borderId="0" xfId="0" applyNumberFormat="1" applyFont="1" applyBorder="1" applyAlignment="1" applyProtection="1">
      <alignment horizontal="right"/>
    </xf>
    <xf numFmtId="165" fontId="3" fillId="0" borderId="1" xfId="2" applyNumberFormat="1" applyFont="1" applyBorder="1" applyProtection="1"/>
    <xf numFmtId="0" fontId="2" fillId="0" borderId="0" xfId="0" quotePrefix="1" applyFont="1" applyFill="1" applyBorder="1" applyAlignment="1" applyProtection="1">
      <alignment horizontal="left" vertical="top" wrapText="1" indent="2"/>
    </xf>
    <xf numFmtId="164" fontId="4" fillId="0" borderId="0" xfId="1" applyNumberFormat="1" applyFont="1" applyProtection="1"/>
    <xf numFmtId="164" fontId="4" fillId="0" borderId="0" xfId="0" applyNumberFormat="1" applyFont="1" applyProtection="1"/>
    <xf numFmtId="164" fontId="4" fillId="0" borderId="0" xfId="0" applyNumberFormat="1" applyFont="1" applyAlignment="1" applyProtection="1">
      <alignment horizontal="center"/>
    </xf>
    <xf numFmtId="0" fontId="16" fillId="0" borderId="0" xfId="0" applyFont="1" applyAlignment="1" applyProtection="1">
      <alignment horizontal="right"/>
    </xf>
    <xf numFmtId="165" fontId="16" fillId="0" borderId="0" xfId="0" applyNumberFormat="1" applyFont="1" applyProtection="1"/>
    <xf numFmtId="10" fontId="4" fillId="0" borderId="0" xfId="0" applyNumberFormat="1" applyFont="1" applyAlignment="1" applyProtection="1">
      <alignment horizontal="center" vertical="top"/>
    </xf>
    <xf numFmtId="165" fontId="4" fillId="0" borderId="0" xfId="0" applyNumberFormat="1" applyFont="1" applyFill="1" applyProtection="1"/>
    <xf numFmtId="0" fontId="4" fillId="0" borderId="0" xfId="0" applyFont="1" applyFill="1" applyProtection="1"/>
    <xf numFmtId="0" fontId="4" fillId="0" borderId="14" xfId="0" applyFont="1" applyBorder="1" applyAlignment="1" applyProtection="1">
      <alignment vertical="top"/>
    </xf>
    <xf numFmtId="0" fontId="4" fillId="0" borderId="14" xfId="0" applyFont="1" applyBorder="1" applyAlignment="1" applyProtection="1">
      <alignment horizontal="center" vertical="top"/>
    </xf>
    <xf numFmtId="0" fontId="4" fillId="0" borderId="0" xfId="0" applyFont="1" applyFill="1" applyAlignment="1" applyProtection="1">
      <alignment horizontal="right" vertical="top"/>
    </xf>
    <xf numFmtId="164" fontId="4" fillId="2" borderId="0" xfId="1" applyNumberFormat="1" applyFont="1" applyFill="1" applyAlignment="1" applyProtection="1">
      <alignment horizontal="center" vertical="top"/>
      <protection locked="0"/>
    </xf>
    <xf numFmtId="164" fontId="4" fillId="2" borderId="0" xfId="1" applyNumberFormat="1" applyFont="1" applyFill="1" applyAlignment="1" applyProtection="1">
      <alignment horizontal="center"/>
      <protection locked="0"/>
    </xf>
    <xf numFmtId="165" fontId="4" fillId="5" borderId="0" xfId="2" applyNumberFormat="1" applyFont="1" applyFill="1" applyAlignment="1" applyProtection="1">
      <alignment horizontal="center" vertical="top"/>
      <protection locked="0"/>
    </xf>
    <xf numFmtId="0" fontId="4" fillId="0" borderId="0" xfId="0" applyFont="1" applyAlignment="1" applyProtection="1">
      <alignment horizontal="right" vertical="top"/>
    </xf>
    <xf numFmtId="165" fontId="4" fillId="0" borderId="0" xfId="2" applyNumberFormat="1" applyFont="1" applyAlignment="1" applyProtection="1">
      <alignment horizontal="center" vertical="top"/>
    </xf>
    <xf numFmtId="165" fontId="4" fillId="0" borderId="0" xfId="0" applyNumberFormat="1" applyFont="1" applyAlignment="1" applyProtection="1">
      <alignment horizontal="center"/>
    </xf>
    <xf numFmtId="165" fontId="1" fillId="2" borderId="0" xfId="6" applyNumberFormat="1" applyFill="1" applyProtection="1">
      <protection locked="0"/>
    </xf>
    <xf numFmtId="165" fontId="1" fillId="2" borderId="0" xfId="2" applyNumberFormat="1" applyFill="1" applyProtection="1">
      <protection locked="0"/>
    </xf>
    <xf numFmtId="166" fontId="1" fillId="2" borderId="0" xfId="3" applyNumberFormat="1" applyFill="1" applyProtection="1">
      <protection locked="0"/>
    </xf>
    <xf numFmtId="164" fontId="1" fillId="2" borderId="0" xfId="1" applyNumberFormat="1" applyFill="1" applyProtection="1">
      <protection locked="0"/>
    </xf>
    <xf numFmtId="0" fontId="16" fillId="0" borderId="0" xfId="5" applyFont="1" applyFill="1" applyAlignment="1" applyProtection="1">
      <alignment horizontal="centerContinuous"/>
    </xf>
    <xf numFmtId="0" fontId="2" fillId="0" borderId="0" xfId="6" applyFont="1" applyAlignment="1" applyProtection="1">
      <alignment horizontal="centerContinuous"/>
    </xf>
    <xf numFmtId="0" fontId="2" fillId="0" borderId="0" xfId="6" applyFont="1" applyProtection="1"/>
    <xf numFmtId="0" fontId="3" fillId="6" borderId="45" xfId="0" applyFont="1" applyFill="1" applyBorder="1" applyAlignment="1">
      <alignment horizontal="center"/>
    </xf>
    <xf numFmtId="0" fontId="2" fillId="0" borderId="46" xfId="0" applyFont="1" applyBorder="1"/>
    <xf numFmtId="165" fontId="2" fillId="0" borderId="46" xfId="2" applyNumberFormat="1" applyFont="1" applyFill="1" applyBorder="1"/>
    <xf numFmtId="0" fontId="3" fillId="0" borderId="46" xfId="0" applyFont="1" applyBorder="1" applyAlignment="1">
      <alignment horizontal="right"/>
    </xf>
    <xf numFmtId="165" fontId="3" fillId="0" borderId="46" xfId="0" applyNumberFormat="1" applyFont="1" applyBorder="1"/>
    <xf numFmtId="164" fontId="2" fillId="0" borderId="46" xfId="1" applyNumberFormat="1" applyFont="1" applyBorder="1"/>
    <xf numFmtId="0" fontId="3" fillId="0" borderId="46" xfId="0" applyFont="1" applyBorder="1"/>
    <xf numFmtId="164" fontId="3" fillId="0" borderId="46" xfId="0" applyNumberFormat="1" applyFont="1" applyBorder="1"/>
    <xf numFmtId="165" fontId="3" fillId="0" borderId="46" xfId="2" applyNumberFormat="1" applyFont="1" applyBorder="1"/>
    <xf numFmtId="0" fontId="3" fillId="0" borderId="47" xfId="0" applyFont="1" applyBorder="1"/>
    <xf numFmtId="165" fontId="3" fillId="0" borderId="47" xfId="2" applyNumberFormat="1" applyFont="1" applyBorder="1"/>
    <xf numFmtId="0" fontId="2" fillId="0" borderId="47" xfId="0" applyFont="1" applyBorder="1"/>
    <xf numFmtId="0" fontId="3" fillId="0" borderId="0" xfId="0" applyFont="1" applyBorder="1"/>
    <xf numFmtId="165" fontId="3" fillId="0" borderId="0" xfId="2" applyNumberFormat="1" applyFont="1" applyBorder="1"/>
    <xf numFmtId="0" fontId="2" fillId="2" borderId="46" xfId="0" applyFont="1" applyFill="1" applyBorder="1" applyProtection="1">
      <protection locked="0"/>
    </xf>
    <xf numFmtId="165" fontId="2" fillId="2" borderId="46" xfId="2" applyNumberFormat="1" applyFont="1" applyFill="1" applyBorder="1" applyProtection="1">
      <protection locked="0"/>
    </xf>
    <xf numFmtId="164" fontId="2" fillId="2" borderId="46" xfId="1" applyNumberFormat="1" applyFont="1" applyFill="1" applyBorder="1" applyProtection="1">
      <protection locked="0"/>
    </xf>
    <xf numFmtId="44" fontId="2" fillId="2" borderId="46" xfId="2" applyFont="1" applyFill="1" applyBorder="1" applyProtection="1">
      <protection locked="0"/>
    </xf>
    <xf numFmtId="0" fontId="3" fillId="0" borderId="46" xfId="0" applyFont="1" applyFill="1" applyBorder="1" applyAlignment="1">
      <alignment horizontal="center"/>
    </xf>
    <xf numFmtId="0" fontId="2" fillId="0" borderId="46" xfId="0" applyFont="1" applyBorder="1" applyAlignment="1">
      <alignment horizontal="left"/>
    </xf>
    <xf numFmtId="0" fontId="2" fillId="2" borderId="0" xfId="0" quotePrefix="1" applyFont="1" applyFill="1" applyBorder="1" applyAlignment="1" applyProtection="1">
      <alignment horizontal="center"/>
      <protection locked="0"/>
    </xf>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0" fontId="2" fillId="2" borderId="0" xfId="0" quotePrefix="1" applyFont="1" applyFill="1" applyBorder="1" applyAlignment="1" applyProtection="1">
      <alignment horizontal="center"/>
      <protection locked="0"/>
    </xf>
    <xf numFmtId="44" fontId="2" fillId="2" borderId="0" xfId="2" applyNumberFormat="1" applyFont="1" applyFill="1" applyBorder="1" applyProtection="1">
      <protection locked="0"/>
    </xf>
    <xf numFmtId="44" fontId="2" fillId="0" borderId="8" xfId="2" applyFont="1" applyFill="1" applyBorder="1"/>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44" fontId="2" fillId="2" borderId="8" xfId="2" quotePrefix="1" applyFont="1" applyFill="1" applyBorder="1" applyAlignment="1" applyProtection="1">
      <alignment wrapText="1"/>
      <protection locked="0"/>
    </xf>
    <xf numFmtId="0" fontId="2" fillId="2" borderId="0" xfId="0" quotePrefix="1" applyFont="1" applyFill="1" applyBorder="1" applyAlignment="1" applyProtection="1">
      <alignment horizontal="center"/>
      <protection locked="0"/>
    </xf>
    <xf numFmtId="44" fontId="2" fillId="2" borderId="0" xfId="2" applyNumberFormat="1" applyFont="1" applyFill="1" applyBorder="1" applyProtection="1">
      <protection locked="0"/>
    </xf>
    <xf numFmtId="44" fontId="2" fillId="2" borderId="8" xfId="2" quotePrefix="1" applyFont="1" applyFill="1" applyBorder="1" applyAlignment="1" applyProtection="1">
      <alignment wrapText="1"/>
      <protection locked="0"/>
    </xf>
    <xf numFmtId="44" fontId="2" fillId="0" borderId="8" xfId="2" applyFont="1" applyFill="1" applyBorder="1"/>
    <xf numFmtId="166" fontId="2" fillId="0" borderId="0" xfId="3" applyNumberFormat="1" applyFont="1" applyBorder="1"/>
    <xf numFmtId="44" fontId="2" fillId="2" borderId="8" xfId="2" quotePrefix="1" applyFont="1" applyFill="1" applyBorder="1" applyAlignment="1" applyProtection="1">
      <alignment wrapText="1"/>
      <protection locked="0"/>
    </xf>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0" fontId="2" fillId="2" borderId="0" xfId="0" quotePrefix="1" applyFont="1" applyFill="1" applyBorder="1" applyAlignment="1" applyProtection="1">
      <alignment horizontal="center"/>
      <protection locked="0"/>
    </xf>
    <xf numFmtId="44" fontId="2" fillId="2" borderId="0" xfId="2" applyNumberFormat="1" applyFont="1" applyFill="1" applyBorder="1" applyProtection="1">
      <protection locked="0"/>
    </xf>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165" fontId="2" fillId="2" borderId="0" xfId="2" applyNumberFormat="1" applyFont="1" applyFill="1" applyBorder="1" applyProtection="1">
      <protection locked="0"/>
    </xf>
    <xf numFmtId="44" fontId="2" fillId="2" borderId="8" xfId="2" quotePrefix="1" applyFont="1" applyFill="1" applyBorder="1" applyAlignment="1" applyProtection="1">
      <alignment wrapText="1"/>
      <protection locked="0"/>
    </xf>
    <xf numFmtId="0" fontId="2" fillId="2" borderId="0" xfId="0" quotePrefix="1" applyFont="1" applyFill="1" applyBorder="1" applyAlignment="1" applyProtection="1">
      <alignment horizontal="center"/>
      <protection locked="0"/>
    </xf>
    <xf numFmtId="165" fontId="2" fillId="0" borderId="0" xfId="2" applyNumberFormat="1" applyFont="1" applyBorder="1"/>
    <xf numFmtId="166" fontId="2" fillId="0" borderId="0" xfId="3" applyNumberFormat="1" applyFont="1" applyBorder="1"/>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165" fontId="2" fillId="2" borderId="0" xfId="2" applyNumberFormat="1" applyFont="1" applyFill="1" applyBorder="1" applyProtection="1">
      <protection locked="0"/>
    </xf>
    <xf numFmtId="44" fontId="2" fillId="2" borderId="8" xfId="2" quotePrefix="1" applyFont="1" applyFill="1" applyBorder="1" applyAlignment="1" applyProtection="1">
      <alignment wrapText="1"/>
      <protection locked="0"/>
    </xf>
    <xf numFmtId="0" fontId="2" fillId="2" borderId="0" xfId="0" quotePrefix="1" applyFont="1" applyFill="1" applyBorder="1" applyAlignment="1" applyProtection="1">
      <alignment horizontal="center"/>
      <protection locked="0"/>
    </xf>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165" fontId="2" fillId="2" borderId="0" xfId="2" applyNumberFormat="1" applyFont="1" applyFill="1" applyBorder="1" applyProtection="1">
      <protection locked="0"/>
    </xf>
    <xf numFmtId="44" fontId="2" fillId="2" borderId="8" xfId="2" quotePrefix="1" applyFont="1" applyFill="1" applyBorder="1" applyAlignment="1" applyProtection="1">
      <alignment wrapText="1"/>
      <protection locked="0"/>
    </xf>
    <xf numFmtId="0" fontId="2" fillId="2" borderId="0" xfId="0" quotePrefix="1" applyFont="1" applyFill="1" applyBorder="1" applyAlignment="1" applyProtection="1">
      <alignment horizontal="center"/>
      <protection locked="0"/>
    </xf>
    <xf numFmtId="0" fontId="2" fillId="2" borderId="6" xfId="0" quotePrefix="1" applyFont="1" applyFill="1" applyBorder="1" applyAlignment="1" applyProtection="1">
      <alignment horizontal="left" wrapText="1"/>
      <protection locked="0"/>
    </xf>
    <xf numFmtId="164" fontId="2" fillId="2" borderId="0" xfId="1" applyNumberFormat="1" applyFont="1" applyFill="1" applyBorder="1" applyProtection="1">
      <protection locked="0"/>
    </xf>
    <xf numFmtId="165" fontId="2" fillId="2" borderId="0" xfId="2" applyNumberFormat="1" applyFont="1" applyFill="1" applyBorder="1" applyProtection="1">
      <protection locked="0"/>
    </xf>
    <xf numFmtId="44" fontId="2" fillId="2" borderId="8" xfId="2" quotePrefix="1" applyFont="1" applyFill="1" applyBorder="1" applyAlignment="1" applyProtection="1">
      <alignment wrapText="1"/>
      <protection locked="0"/>
    </xf>
    <xf numFmtId="0" fontId="2" fillId="0" borderId="6" xfId="0" quotePrefix="1" applyFont="1" applyFill="1" applyBorder="1" applyAlignment="1" applyProtection="1">
      <alignment horizontal="left" wrapText="1"/>
    </xf>
    <xf numFmtId="0" fontId="3" fillId="0" borderId="6" xfId="0" quotePrefix="1" applyFont="1" applyFill="1" applyBorder="1" applyAlignment="1" applyProtection="1">
      <alignment horizontal="left" wrapText="1"/>
    </xf>
    <xf numFmtId="0" fontId="2" fillId="0" borderId="6" xfId="0" quotePrefix="1" applyFont="1" applyFill="1" applyBorder="1" applyAlignment="1" applyProtection="1">
      <alignment horizontal="left" wrapText="1" indent="4"/>
    </xf>
    <xf numFmtId="0" fontId="12" fillId="2" borderId="42" xfId="0" quotePrefix="1" applyFont="1" applyFill="1" applyBorder="1" applyAlignment="1" applyProtection="1">
      <alignment horizontal="center" wrapText="1"/>
      <protection locked="0"/>
    </xf>
    <xf numFmtId="165" fontId="12" fillId="2" borderId="18" xfId="2" applyNumberFormat="1" applyFont="1" applyFill="1" applyBorder="1" applyProtection="1">
      <protection locked="0"/>
    </xf>
    <xf numFmtId="165" fontId="12" fillId="2" borderId="19" xfId="2" applyNumberFormat="1" applyFont="1" applyFill="1" applyBorder="1" applyProtection="1">
      <protection locked="0"/>
    </xf>
    <xf numFmtId="10" fontId="12" fillId="2" borderId="19" xfId="3" applyNumberFormat="1" applyFont="1" applyFill="1" applyBorder="1" applyProtection="1">
      <protection locked="0"/>
    </xf>
    <xf numFmtId="0" fontId="11" fillId="0" borderId="0" xfId="0" applyFont="1" applyAlignment="1" applyProtection="1">
      <alignment horizontal="left"/>
    </xf>
    <xf numFmtId="0" fontId="11" fillId="0" borderId="0" xfId="0" applyFont="1" applyAlignment="1" applyProtection="1">
      <alignment horizontal="centerContinuous"/>
    </xf>
    <xf numFmtId="0" fontId="12" fillId="0" borderId="0" xfId="0" applyFont="1" applyAlignment="1" applyProtection="1">
      <alignment horizontal="centerContinuous"/>
    </xf>
    <xf numFmtId="165" fontId="12" fillId="0" borderId="0" xfId="0" applyNumberFormat="1" applyFont="1" applyAlignment="1" applyProtection="1">
      <alignment horizontal="left"/>
    </xf>
    <xf numFmtId="0" fontId="12" fillId="0" borderId="0" xfId="0" applyFont="1" applyProtection="1"/>
    <xf numFmtId="9" fontId="12" fillId="0" borderId="0" xfId="3" applyFont="1" applyAlignment="1" applyProtection="1">
      <alignment horizontal="centerContinuous"/>
    </xf>
    <xf numFmtId="0" fontId="12" fillId="0" borderId="11" xfId="0" applyFont="1" applyBorder="1" applyProtection="1"/>
    <xf numFmtId="0" fontId="12" fillId="0" borderId="0" xfId="0" applyFont="1" applyBorder="1" applyProtection="1"/>
    <xf numFmtId="0" fontId="11" fillId="0" borderId="3" xfId="0" applyFont="1" applyBorder="1" applyAlignment="1" applyProtection="1">
      <alignment horizontal="center" wrapText="1"/>
    </xf>
    <xf numFmtId="0" fontId="11" fillId="0" borderId="4" xfId="0" applyFont="1" applyBorder="1" applyAlignment="1" applyProtection="1">
      <alignment horizontal="center" wrapText="1"/>
    </xf>
    <xf numFmtId="0" fontId="11" fillId="0" borderId="10" xfId="0" applyFont="1" applyBorder="1" applyAlignment="1" applyProtection="1">
      <alignment horizontal="center" vertical="center" wrapText="1"/>
    </xf>
    <xf numFmtId="0" fontId="12" fillId="0" borderId="2" xfId="0" applyFont="1" applyBorder="1" applyProtection="1"/>
    <xf numFmtId="0" fontId="11" fillId="3" borderId="3" xfId="0" applyFont="1" applyFill="1" applyBorder="1" applyAlignment="1" applyProtection="1">
      <alignment horizontal="center" wrapText="1"/>
    </xf>
    <xf numFmtId="0" fontId="11" fillId="3" borderId="4" xfId="0" applyFont="1" applyFill="1" applyBorder="1" applyAlignment="1" applyProtection="1">
      <alignment horizontal="center" wrapText="1"/>
    </xf>
    <xf numFmtId="0" fontId="11" fillId="3" borderId="4" xfId="0" applyFont="1" applyFill="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2" fillId="0" borderId="41" xfId="0" applyFont="1" applyBorder="1" applyProtection="1"/>
    <xf numFmtId="0" fontId="12" fillId="0" borderId="41" xfId="0" applyFont="1" applyBorder="1" applyAlignment="1" applyProtection="1">
      <alignment horizontal="center"/>
    </xf>
    <xf numFmtId="165" fontId="12" fillId="0" borderId="16" xfId="0" applyNumberFormat="1" applyFont="1" applyBorder="1" applyProtection="1"/>
    <xf numFmtId="165" fontId="12" fillId="0" borderId="17" xfId="0" applyNumberFormat="1" applyFont="1" applyBorder="1" applyProtection="1"/>
    <xf numFmtId="0" fontId="12" fillId="0" borderId="17" xfId="0" applyFont="1" applyBorder="1" applyProtection="1"/>
    <xf numFmtId="0" fontId="12" fillId="0" borderId="33" xfId="0" applyFont="1" applyBorder="1" applyProtection="1"/>
    <xf numFmtId="0" fontId="12" fillId="3" borderId="25" xfId="0" applyFont="1" applyFill="1" applyBorder="1" applyProtection="1"/>
    <xf numFmtId="0" fontId="12" fillId="3" borderId="34" xfId="0" applyFont="1" applyFill="1" applyBorder="1" applyProtection="1"/>
    <xf numFmtId="0" fontId="12" fillId="3" borderId="39" xfId="0" applyFont="1" applyFill="1" applyBorder="1" applyProtection="1"/>
    <xf numFmtId="0" fontId="12" fillId="0" borderId="25" xfId="0" applyFont="1" applyBorder="1" applyProtection="1"/>
    <xf numFmtId="0" fontId="12" fillId="0" borderId="34" xfId="0" applyFont="1" applyBorder="1" applyProtection="1"/>
    <xf numFmtId="0" fontId="12" fillId="0" borderId="39" xfId="0" applyFont="1" applyBorder="1" applyProtection="1"/>
    <xf numFmtId="0" fontId="12" fillId="0" borderId="40" xfId="0" applyFont="1" applyBorder="1" applyProtection="1"/>
    <xf numFmtId="0" fontId="12" fillId="3" borderId="40" xfId="0" applyFont="1" applyFill="1" applyBorder="1" applyProtection="1"/>
    <xf numFmtId="0" fontId="12" fillId="3" borderId="16" xfId="0" applyFont="1" applyFill="1" applyBorder="1" applyProtection="1"/>
    <xf numFmtId="0" fontId="12" fillId="3" borderId="17" xfId="0" applyFont="1" applyFill="1" applyBorder="1" applyProtection="1"/>
    <xf numFmtId="0" fontId="12" fillId="3" borderId="28" xfId="0" applyFont="1" applyFill="1" applyBorder="1" applyProtection="1"/>
    <xf numFmtId="0" fontId="12" fillId="0" borderId="16" xfId="0" applyFont="1" applyBorder="1" applyProtection="1"/>
    <xf numFmtId="0" fontId="12" fillId="0" borderId="28" xfId="0" applyFont="1" applyBorder="1" applyProtection="1"/>
    <xf numFmtId="0" fontId="11" fillId="0" borderId="42" xfId="0" applyFont="1" applyBorder="1" applyProtection="1"/>
    <xf numFmtId="0" fontId="11" fillId="0" borderId="42" xfId="0" applyFont="1" applyBorder="1" applyAlignment="1" applyProtection="1">
      <alignment horizontal="center"/>
    </xf>
    <xf numFmtId="165" fontId="12" fillId="0" borderId="18" xfId="0" applyNumberFormat="1" applyFont="1" applyBorder="1" applyProtection="1"/>
    <xf numFmtId="165" fontId="12" fillId="0" borderId="19" xfId="0" applyNumberFormat="1" applyFont="1" applyBorder="1" applyProtection="1"/>
    <xf numFmtId="0" fontId="12" fillId="0" borderId="19" xfId="0" applyFont="1" applyBorder="1" applyProtection="1"/>
    <xf numFmtId="0" fontId="12" fillId="0" borderId="35" xfId="0" applyFont="1" applyBorder="1" applyProtection="1"/>
    <xf numFmtId="0" fontId="12" fillId="3" borderId="19" xfId="0" applyFont="1" applyFill="1" applyBorder="1" applyProtection="1"/>
    <xf numFmtId="0" fontId="12" fillId="3" borderId="35" xfId="0" applyFont="1" applyFill="1" applyBorder="1" applyProtection="1"/>
    <xf numFmtId="0" fontId="12" fillId="0" borderId="18" xfId="0" applyFont="1" applyBorder="1" applyProtection="1"/>
    <xf numFmtId="0" fontId="12" fillId="3" borderId="18" xfId="0" applyFont="1" applyFill="1" applyBorder="1" applyProtection="1"/>
    <xf numFmtId="0" fontId="12" fillId="0" borderId="29" xfId="0" applyFont="1" applyBorder="1" applyProtection="1"/>
    <xf numFmtId="0" fontId="12" fillId="3" borderId="29" xfId="0" applyFont="1" applyFill="1" applyBorder="1" applyProtection="1"/>
    <xf numFmtId="6" fontId="12" fillId="0" borderId="19" xfId="0" applyNumberFormat="1" applyFont="1" applyBorder="1" applyProtection="1"/>
    <xf numFmtId="6" fontId="12" fillId="0" borderId="35" xfId="0" applyNumberFormat="1" applyFont="1" applyBorder="1" applyProtection="1"/>
    <xf numFmtId="6" fontId="12" fillId="0" borderId="19" xfId="0" applyNumberFormat="1" applyFont="1" applyFill="1" applyBorder="1" applyProtection="1"/>
    <xf numFmtId="6" fontId="12" fillId="0" borderId="35" xfId="0" applyNumberFormat="1" applyFont="1" applyFill="1" applyBorder="1" applyProtection="1"/>
    <xf numFmtId="6" fontId="12" fillId="0" borderId="27" xfId="0" applyNumberFormat="1" applyFont="1" applyFill="1" applyBorder="1" applyProtection="1"/>
    <xf numFmtId="6" fontId="12" fillId="0" borderId="36" xfId="0" applyNumberFormat="1" applyFont="1" applyFill="1" applyBorder="1" applyProtection="1"/>
    <xf numFmtId="0" fontId="12" fillId="0" borderId="27" xfId="0" applyFont="1" applyBorder="1" applyProtection="1"/>
    <xf numFmtId="0" fontId="12" fillId="0" borderId="36" xfId="0" applyFont="1" applyBorder="1" applyProtection="1"/>
    <xf numFmtId="0" fontId="12" fillId="0" borderId="37" xfId="0" applyFont="1" applyBorder="1" applyProtection="1"/>
    <xf numFmtId="165" fontId="11" fillId="3" borderId="86" xfId="0" applyNumberFormat="1" applyFont="1" applyFill="1" applyBorder="1" applyProtection="1"/>
    <xf numFmtId="165" fontId="11" fillId="3" borderId="87" xfId="0" applyNumberFormat="1" applyFont="1" applyFill="1" applyBorder="1" applyProtection="1"/>
    <xf numFmtId="165" fontId="11" fillId="3" borderId="88" xfId="0" applyNumberFormat="1" applyFont="1" applyFill="1" applyBorder="1" applyProtection="1"/>
    <xf numFmtId="165" fontId="11" fillId="0" borderId="86" xfId="0" applyNumberFormat="1" applyFont="1" applyFill="1" applyBorder="1" applyProtection="1"/>
    <xf numFmtId="165" fontId="11" fillId="0" borderId="87" xfId="0" applyNumberFormat="1" applyFont="1" applyFill="1" applyBorder="1" applyProtection="1"/>
    <xf numFmtId="165" fontId="11" fillId="0" borderId="88" xfId="0" applyNumberFormat="1" applyFont="1" applyFill="1" applyBorder="1" applyProtection="1"/>
    <xf numFmtId="165" fontId="11" fillId="3" borderId="18" xfId="0" applyNumberFormat="1" applyFont="1" applyFill="1" applyBorder="1" applyProtection="1"/>
    <xf numFmtId="165" fontId="11" fillId="3" borderId="19" xfId="0" applyNumberFormat="1" applyFont="1" applyFill="1" applyBorder="1" applyProtection="1"/>
    <xf numFmtId="165" fontId="11" fillId="3" borderId="29" xfId="0" applyNumberFormat="1" applyFont="1" applyFill="1" applyBorder="1" applyProtection="1"/>
    <xf numFmtId="165" fontId="11" fillId="0" borderId="18" xfId="0" applyNumberFormat="1" applyFont="1" applyFill="1" applyBorder="1" applyProtection="1"/>
    <xf numFmtId="165" fontId="11" fillId="0" borderId="19" xfId="0" applyNumberFormat="1" applyFont="1" applyFill="1" applyBorder="1" applyProtection="1"/>
    <xf numFmtId="165" fontId="11" fillId="0" borderId="29" xfId="0" applyNumberFormat="1" applyFont="1" applyFill="1" applyBorder="1" applyProtection="1"/>
    <xf numFmtId="44" fontId="11" fillId="0" borderId="42" xfId="2" applyFont="1" applyBorder="1" applyAlignment="1" applyProtection="1">
      <alignment horizontal="left"/>
    </xf>
    <xf numFmtId="44" fontId="12" fillId="0" borderId="42" xfId="2" applyFont="1" applyBorder="1" applyAlignment="1" applyProtection="1">
      <alignment horizontal="left"/>
    </xf>
    <xf numFmtId="0" fontId="11" fillId="0" borderId="19" xfId="0" applyFont="1" applyBorder="1" applyProtection="1"/>
    <xf numFmtId="0" fontId="11" fillId="0" borderId="35" xfId="0" applyFont="1" applyBorder="1" applyProtection="1"/>
    <xf numFmtId="165" fontId="11" fillId="0" borderId="42" xfId="0" applyNumberFormat="1" applyFont="1" applyFill="1" applyBorder="1" applyProtection="1"/>
    <xf numFmtId="0" fontId="12" fillId="0" borderId="24" xfId="0" applyFont="1" applyBorder="1" applyProtection="1"/>
    <xf numFmtId="165" fontId="12" fillId="0" borderId="20" xfId="0" applyNumberFormat="1" applyFont="1" applyBorder="1" applyProtection="1"/>
    <xf numFmtId="165" fontId="12" fillId="0" borderId="21" xfId="0" applyNumberFormat="1" applyFont="1" applyBorder="1" applyProtection="1"/>
    <xf numFmtId="0" fontId="12" fillId="0" borderId="21" xfId="0" applyFont="1" applyBorder="1" applyProtection="1"/>
    <xf numFmtId="0" fontId="12" fillId="0" borderId="38" xfId="0" applyFont="1" applyBorder="1" applyProtection="1"/>
    <xf numFmtId="0" fontId="12" fillId="3" borderId="20" xfId="0" applyFont="1" applyFill="1" applyBorder="1" applyProtection="1"/>
    <xf numFmtId="0" fontId="12" fillId="3" borderId="21" xfId="0" applyFont="1" applyFill="1" applyBorder="1" applyProtection="1"/>
    <xf numFmtId="0" fontId="12" fillId="3" borderId="38" xfId="0" applyFont="1" applyFill="1" applyBorder="1" applyProtection="1"/>
    <xf numFmtId="0" fontId="12" fillId="0" borderId="20" xfId="0" applyFont="1" applyBorder="1" applyProtection="1"/>
    <xf numFmtId="0" fontId="12" fillId="0" borderId="32" xfId="0" applyFont="1" applyBorder="1" applyProtection="1"/>
    <xf numFmtId="0" fontId="12" fillId="3" borderId="32" xfId="0" applyFont="1" applyFill="1" applyBorder="1" applyProtection="1"/>
    <xf numFmtId="0" fontId="12" fillId="0" borderId="20" xfId="0" applyFont="1" applyFill="1" applyBorder="1" applyProtection="1"/>
    <xf numFmtId="165" fontId="12" fillId="0" borderId="0" xfId="0" applyNumberFormat="1" applyFont="1" applyBorder="1" applyProtection="1"/>
    <xf numFmtId="0" fontId="12" fillId="2" borderId="42" xfId="0" quotePrefix="1" applyFont="1" applyFill="1" applyBorder="1" applyAlignment="1" applyProtection="1">
      <alignment horizontal="left" wrapText="1" indent="4"/>
      <protection locked="0"/>
    </xf>
    <xf numFmtId="165" fontId="2" fillId="5" borderId="71" xfId="7" quotePrefix="1" applyNumberFormat="1" applyFont="1" applyFill="1" applyBorder="1" applyAlignment="1">
      <alignment vertical="top" wrapText="1"/>
    </xf>
    <xf numFmtId="0" fontId="12" fillId="0" borderId="0" xfId="0" applyFont="1" applyAlignment="1" applyProtection="1">
      <alignment horizontal="left"/>
    </xf>
    <xf numFmtId="165" fontId="2" fillId="9" borderId="71" xfId="7" quotePrefix="1" applyNumberFormat="1" applyFont="1" applyFill="1" applyBorder="1" applyAlignment="1">
      <alignment vertical="top" wrapText="1"/>
    </xf>
    <xf numFmtId="0" fontId="3" fillId="0" borderId="0" xfId="0" applyFont="1" applyAlignment="1">
      <alignment horizontal="center"/>
    </xf>
    <xf numFmtId="0" fontId="3" fillId="0" borderId="0" xfId="4" applyFont="1" applyAlignment="1">
      <alignment horizontal="center"/>
    </xf>
    <xf numFmtId="165" fontId="3" fillId="2" borderId="48" xfId="7" applyNumberFormat="1" applyFont="1" applyFill="1" applyBorder="1" applyAlignment="1">
      <alignment horizontal="center"/>
    </xf>
    <xf numFmtId="165" fontId="3" fillId="2" borderId="49" xfId="7" applyNumberFormat="1" applyFont="1" applyFill="1" applyBorder="1" applyAlignment="1">
      <alignment horizontal="center"/>
    </xf>
    <xf numFmtId="165" fontId="3" fillId="2" borderId="50" xfId="7" applyNumberFormat="1" applyFont="1" applyFill="1" applyBorder="1" applyAlignment="1">
      <alignment horizontal="center"/>
    </xf>
    <xf numFmtId="165" fontId="3" fillId="8" borderId="51" xfId="7" applyNumberFormat="1" applyFont="1" applyFill="1" applyBorder="1" applyAlignment="1">
      <alignment horizontal="center"/>
    </xf>
    <xf numFmtId="165" fontId="3" fillId="8" borderId="52" xfId="7" applyNumberFormat="1" applyFont="1" applyFill="1" applyBorder="1" applyAlignment="1">
      <alignment horizontal="center"/>
    </xf>
    <xf numFmtId="165" fontId="3" fillId="8" borderId="53" xfId="7" applyNumberFormat="1" applyFont="1" applyFill="1" applyBorder="1" applyAlignment="1">
      <alignment horizontal="center"/>
    </xf>
    <xf numFmtId="165" fontId="3" fillId="3" borderId="51" xfId="7" applyNumberFormat="1" applyFont="1" applyFill="1" applyBorder="1" applyAlignment="1">
      <alignment horizontal="center"/>
    </xf>
    <xf numFmtId="165" fontId="3" fillId="3" borderId="52" xfId="7" applyNumberFormat="1" applyFont="1" applyFill="1" applyBorder="1" applyAlignment="1">
      <alignment horizontal="center"/>
    </xf>
    <xf numFmtId="165" fontId="3" fillId="3" borderId="53" xfId="7" applyNumberFormat="1" applyFont="1" applyFill="1" applyBorder="1" applyAlignment="1">
      <alignment horizontal="center"/>
    </xf>
    <xf numFmtId="165" fontId="3" fillId="9" borderId="51" xfId="7" applyNumberFormat="1" applyFont="1" applyFill="1" applyBorder="1" applyAlignment="1">
      <alignment horizontal="center"/>
    </xf>
    <xf numFmtId="165" fontId="3" fillId="9" borderId="52" xfId="7" applyNumberFormat="1" applyFont="1" applyFill="1" applyBorder="1" applyAlignment="1">
      <alignment horizontal="center"/>
    </xf>
    <xf numFmtId="165" fontId="3" fillId="9" borderId="53" xfId="7" applyNumberFormat="1" applyFont="1" applyFill="1" applyBorder="1" applyAlignment="1">
      <alignment horizontal="center"/>
    </xf>
    <xf numFmtId="165" fontId="3" fillId="10" borderId="51" xfId="7" applyNumberFormat="1" applyFont="1" applyFill="1" applyBorder="1" applyAlignment="1">
      <alignment horizontal="center"/>
    </xf>
    <xf numFmtId="165" fontId="3" fillId="10" borderId="52" xfId="7" applyNumberFormat="1" applyFont="1" applyFill="1" applyBorder="1" applyAlignment="1">
      <alignment horizontal="center"/>
    </xf>
    <xf numFmtId="165" fontId="3" fillId="10" borderId="53" xfId="7" applyNumberFormat="1" applyFont="1" applyFill="1" applyBorder="1" applyAlignment="1">
      <alignment horizontal="center"/>
    </xf>
    <xf numFmtId="165" fontId="3" fillId="2" borderId="54" xfId="7" applyNumberFormat="1" applyFont="1" applyFill="1" applyBorder="1" applyAlignment="1">
      <alignment horizontal="center" wrapText="1"/>
    </xf>
    <xf numFmtId="165" fontId="3" fillId="2" borderId="61" xfId="7" applyNumberFormat="1" applyFont="1" applyFill="1" applyBorder="1" applyAlignment="1">
      <alignment horizontal="center" wrapText="1"/>
    </xf>
    <xf numFmtId="0" fontId="3" fillId="11" borderId="54" xfId="4" applyFont="1" applyFill="1" applyBorder="1" applyAlignment="1">
      <alignment horizontal="center"/>
    </xf>
    <xf numFmtId="0" fontId="3" fillId="11" borderId="61" xfId="4" applyFont="1" applyFill="1" applyBorder="1" applyAlignment="1">
      <alignment horizontal="center"/>
    </xf>
    <xf numFmtId="165" fontId="3" fillId="7" borderId="48" xfId="7" applyNumberFormat="1" applyFont="1" applyFill="1" applyBorder="1" applyAlignment="1">
      <alignment horizontal="center"/>
    </xf>
    <xf numFmtId="165" fontId="3" fillId="7" borderId="49" xfId="7" applyNumberFormat="1" applyFont="1" applyFill="1" applyBorder="1" applyAlignment="1">
      <alignment horizontal="center"/>
    </xf>
    <xf numFmtId="165" fontId="3" fillId="7" borderId="50" xfId="7" applyNumberFormat="1" applyFont="1" applyFill="1" applyBorder="1" applyAlignment="1">
      <alignment horizontal="center"/>
    </xf>
    <xf numFmtId="165" fontId="3" fillId="5" borderId="51" xfId="7" applyNumberFormat="1" applyFont="1" applyFill="1" applyBorder="1" applyAlignment="1">
      <alignment horizontal="center"/>
    </xf>
    <xf numFmtId="165" fontId="3" fillId="5" borderId="52" xfId="7" applyNumberFormat="1" applyFont="1" applyFill="1" applyBorder="1" applyAlignment="1">
      <alignment horizontal="center"/>
    </xf>
    <xf numFmtId="165" fontId="3" fillId="5" borderId="53" xfId="7" applyNumberFormat="1" applyFont="1" applyFill="1" applyBorder="1" applyAlignment="1">
      <alignment horizontal="center"/>
    </xf>
    <xf numFmtId="0" fontId="11" fillId="0" borderId="5" xfId="0" applyFont="1" applyBorder="1" applyAlignment="1" applyProtection="1">
      <alignment horizontal="center" wrapText="1"/>
    </xf>
    <xf numFmtId="0" fontId="11" fillId="0" borderId="6" xfId="0" applyFont="1" applyBorder="1" applyAlignment="1" applyProtection="1">
      <alignment horizontal="center" wrapText="1"/>
    </xf>
    <xf numFmtId="0" fontId="11" fillId="0" borderId="7" xfId="0" applyFont="1" applyBorder="1" applyAlignment="1" applyProtection="1">
      <alignment horizontal="center" wrapText="1"/>
    </xf>
    <xf numFmtId="0" fontId="11" fillId="0" borderId="5" xfId="0" applyFont="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11" fillId="0" borderId="11" xfId="0" applyFont="1" applyBorder="1" applyAlignment="1" applyProtection="1">
      <alignment horizontal="center"/>
    </xf>
    <xf numFmtId="0" fontId="11" fillId="0" borderId="12" xfId="0" applyFont="1" applyBorder="1" applyAlignment="1" applyProtection="1">
      <alignment horizontal="center"/>
    </xf>
    <xf numFmtId="0" fontId="11" fillId="0" borderId="2" xfId="0" applyFont="1" applyBorder="1" applyAlignment="1" applyProtection="1">
      <alignment horizontal="center"/>
    </xf>
    <xf numFmtId="0" fontId="11" fillId="0" borderId="9" xfId="0" applyFont="1" applyBorder="1" applyAlignment="1" applyProtection="1">
      <alignment horizontal="center"/>
    </xf>
    <xf numFmtId="0" fontId="11" fillId="3" borderId="5" xfId="0" applyFont="1" applyFill="1" applyBorder="1" applyAlignment="1" applyProtection="1">
      <alignment horizontal="center"/>
    </xf>
    <xf numFmtId="0" fontId="11" fillId="3" borderId="11" xfId="0" applyFont="1" applyFill="1" applyBorder="1" applyAlignment="1" applyProtection="1">
      <alignment horizontal="center"/>
    </xf>
    <xf numFmtId="0" fontId="11" fillId="3" borderId="12" xfId="0" applyFont="1" applyFill="1" applyBorder="1" applyAlignment="1" applyProtection="1">
      <alignment horizontal="center"/>
    </xf>
    <xf numFmtId="1" fontId="11" fillId="3" borderId="5" xfId="0" applyNumberFormat="1" applyFont="1" applyFill="1" applyBorder="1" applyAlignment="1" applyProtection="1">
      <alignment horizontal="center"/>
    </xf>
    <xf numFmtId="1" fontId="11" fillId="3" borderId="11" xfId="0" applyNumberFormat="1" applyFont="1" applyFill="1" applyBorder="1" applyAlignment="1" applyProtection="1">
      <alignment horizontal="center"/>
    </xf>
    <xf numFmtId="0" fontId="11" fillId="0" borderId="3" xfId="0" applyFont="1" applyBorder="1" applyAlignment="1" applyProtection="1">
      <alignment horizontal="center"/>
    </xf>
    <xf numFmtId="0" fontId="11" fillId="0" borderId="4" xfId="0" applyFont="1" applyBorder="1" applyAlignment="1" applyProtection="1">
      <alignment horizontal="center"/>
    </xf>
    <xf numFmtId="0" fontId="11" fillId="0" borderId="10" xfId="0" applyFont="1" applyBorder="1" applyAlignment="1" applyProtection="1">
      <alignment horizontal="center"/>
    </xf>
    <xf numFmtId="1" fontId="11" fillId="3" borderId="3" xfId="0" applyNumberFormat="1" applyFont="1" applyFill="1" applyBorder="1" applyAlignment="1" applyProtection="1">
      <alignment horizontal="center"/>
    </xf>
    <xf numFmtId="1" fontId="11" fillId="3" borderId="4" xfId="0" applyNumberFormat="1" applyFont="1" applyFill="1" applyBorder="1" applyAlignment="1" applyProtection="1">
      <alignment horizontal="center"/>
    </xf>
    <xf numFmtId="1" fontId="11" fillId="3" borderId="10" xfId="0" applyNumberFormat="1"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11" fillId="3" borderId="10" xfId="0" applyFont="1" applyFill="1" applyBorder="1" applyAlignment="1" applyProtection="1">
      <alignment horizontal="center"/>
    </xf>
    <xf numFmtId="0" fontId="5" fillId="0" borderId="0" xfId="0" applyFont="1" applyAlignment="1">
      <alignment horizontal="center"/>
    </xf>
    <xf numFmtId="0" fontId="6" fillId="0" borderId="14" xfId="0" applyFont="1" applyBorder="1" applyAlignment="1">
      <alignment horizontal="center"/>
    </xf>
    <xf numFmtId="0" fontId="4" fillId="0" borderId="1" xfId="0" applyFont="1" applyBorder="1" applyAlignment="1" applyProtection="1">
      <alignment horizontal="center" wrapText="1"/>
    </xf>
    <xf numFmtId="0" fontId="4" fillId="0" borderId="1" xfId="0" applyFont="1" applyBorder="1" applyAlignment="1" applyProtection="1">
      <alignment horizontal="center"/>
    </xf>
    <xf numFmtId="0" fontId="4" fillId="0" borderId="14" xfId="0" applyFont="1" applyBorder="1" applyAlignment="1" applyProtection="1">
      <alignment horizontal="center"/>
    </xf>
    <xf numFmtId="0" fontId="4" fillId="0" borderId="15" xfId="0" applyFont="1" applyBorder="1" applyAlignment="1" applyProtection="1">
      <alignment horizontal="center"/>
    </xf>
    <xf numFmtId="0" fontId="4" fillId="0" borderId="0" xfId="0" applyFont="1" applyBorder="1" applyAlignment="1" applyProtection="1">
      <alignment horizontal="center"/>
    </xf>
    <xf numFmtId="0" fontId="16" fillId="0" borderId="0" xfId="0" applyFont="1" applyAlignment="1" applyProtection="1">
      <alignment horizontal="center"/>
    </xf>
    <xf numFmtId="0" fontId="0" fillId="0" borderId="0" xfId="6" applyFont="1" applyAlignment="1" applyProtection="1">
      <alignment horizontal="left" vertical="top" wrapText="1"/>
    </xf>
    <xf numFmtId="0" fontId="0" fillId="0" borderId="15" xfId="6" applyFont="1" applyBorder="1" applyAlignment="1" applyProtection="1">
      <alignment horizontal="center"/>
    </xf>
    <xf numFmtId="0" fontId="3" fillId="0" borderId="0" xfId="0" applyFont="1" applyAlignment="1">
      <alignment horizontal="center" vertical="center" textRotation="90"/>
    </xf>
  </cellXfs>
  <cellStyles count="10">
    <cellStyle name="Comma" xfId="1" builtinId="3"/>
    <cellStyle name="Comma 2" xfId="8"/>
    <cellStyle name="Comma 3" xfId="9"/>
    <cellStyle name="Currency" xfId="2" builtinId="4"/>
    <cellStyle name="Currency 2" xfId="7"/>
    <cellStyle name="Normal" xfId="0" builtinId="0"/>
    <cellStyle name="Normal 2" xfId="6"/>
    <cellStyle name="Normal 3" xfId="4"/>
    <cellStyle name="Normal_UniBankBetterment Matrix1"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'Phasing - Chart'!$F$6</c:f>
              <c:strCache>
                <c:ptCount val="1"/>
                <c:pt idx="0">
                  <c:v>Capital Cost</c:v>
                </c:pt>
              </c:strCache>
            </c:strRef>
          </c:tx>
          <c:invertIfNegative val="0"/>
          <c:val>
            <c:numRef>
              <c:f>'Phasing - Chart'!$F$7:$F$26</c:f>
              <c:numCache>
                <c:formatCode>_("$"* #,##0_);_("$"* \(#,##0\);_("$"* "-"??_);_(@_)</c:formatCode>
                <c:ptCount val="20"/>
                <c:pt idx="0">
                  <c:v>2405325</c:v>
                </c:pt>
                <c:pt idx="1">
                  <c:v>11608293.536999999</c:v>
                </c:pt>
                <c:pt idx="2">
                  <c:v>65224328.266499996</c:v>
                </c:pt>
                <c:pt idx="3">
                  <c:v>6372630.8822199991</c:v>
                </c:pt>
                <c:pt idx="4">
                  <c:v>17760658.45531315</c:v>
                </c:pt>
                <c:pt idx="5">
                  <c:v>19588571.210833829</c:v>
                </c:pt>
                <c:pt idx="6">
                  <c:v>34224007.521644212</c:v>
                </c:pt>
                <c:pt idx="7">
                  <c:v>51262384.883512646</c:v>
                </c:pt>
                <c:pt idx="8">
                  <c:v>1304773.1838292445</c:v>
                </c:pt>
                <c:pt idx="9">
                  <c:v>2764301.600672924</c:v>
                </c:pt>
                <c:pt idx="10">
                  <c:v>1384233.8707244454</c:v>
                </c:pt>
                <c:pt idx="11">
                  <c:v>1425760.8868461787</c:v>
                </c:pt>
                <c:pt idx="12">
                  <c:v>1468533.7134515638</c:v>
                </c:pt>
                <c:pt idx="13">
                  <c:v>15735773.425612692</c:v>
                </c:pt>
                <c:pt idx="14">
                  <c:v>21032560.124110319</c:v>
                </c:pt>
                <c:pt idx="15">
                  <c:v>1604706.439098787</c:v>
                </c:pt>
                <c:pt idx="16">
                  <c:v>1652847.6322717508</c:v>
                </c:pt>
                <c:pt idx="17">
                  <c:v>1702433.0612399033</c:v>
                </c:pt>
                <c:pt idx="18">
                  <c:v>1753506.0530771003</c:v>
                </c:pt>
                <c:pt idx="19">
                  <c:v>1806111.2346694134</c:v>
                </c:pt>
              </c:numCache>
            </c:numRef>
          </c:val>
        </c:ser>
        <c:ser>
          <c:idx val="2"/>
          <c:order val="1"/>
          <c:tx>
            <c:strRef>
              <c:f>'Phasing - Chart'!$G$6</c:f>
              <c:strCache>
                <c:ptCount val="1"/>
                <c:pt idx="0">
                  <c:v>Annual O&amp;M Cost</c:v>
                </c:pt>
              </c:strCache>
            </c:strRef>
          </c:tx>
          <c:invertIfNegative val="0"/>
          <c:val>
            <c:numRef>
              <c:f>'Phasing - Chart'!$G$7:$G$26</c:f>
              <c:numCache>
                <c:formatCode>_("$"* #,##0_);_("$"* \(#,##0\);_("$"* "-"??_);_(@_)</c:formatCode>
                <c:ptCount val="20"/>
                <c:pt idx="0">
                  <c:v>0</c:v>
                </c:pt>
                <c:pt idx="1">
                  <c:v>764272.35999999987</c:v>
                </c:pt>
                <c:pt idx="2">
                  <c:v>787200.53080000007</c:v>
                </c:pt>
                <c:pt idx="3">
                  <c:v>2746579.1490429998</c:v>
                </c:pt>
                <c:pt idx="4">
                  <c:v>1993835.4803885696</c:v>
                </c:pt>
                <c:pt idx="5">
                  <c:v>3021668.7415962871</c:v>
                </c:pt>
                <c:pt idx="6">
                  <c:v>3112318.8038441762</c:v>
                </c:pt>
                <c:pt idx="7">
                  <c:v>3377969.0990282167</c:v>
                </c:pt>
                <c:pt idx="8">
                  <c:v>4512949.4882285902</c:v>
                </c:pt>
                <c:pt idx="9">
                  <c:v>4648337.9728754489</c:v>
                </c:pt>
                <c:pt idx="10">
                  <c:v>4803429.9548008982</c:v>
                </c:pt>
                <c:pt idx="11">
                  <c:v>4947532.8534449246</c:v>
                </c:pt>
                <c:pt idx="12">
                  <c:v>5095958.8390482729</c:v>
                </c:pt>
                <c:pt idx="13">
                  <c:v>5248837.6042197198</c:v>
                </c:pt>
                <c:pt idx="14">
                  <c:v>6341083.1823067712</c:v>
                </c:pt>
                <c:pt idx="15">
                  <c:v>6707833.3860768387</c:v>
                </c:pt>
                <c:pt idx="16">
                  <c:v>6909068.3876591465</c:v>
                </c:pt>
                <c:pt idx="17">
                  <c:v>7116340.4392889189</c:v>
                </c:pt>
                <c:pt idx="18">
                  <c:v>7329830.652467588</c:v>
                </c:pt>
                <c:pt idx="19">
                  <c:v>7549725.5720416149</c:v>
                </c:pt>
              </c:numCache>
            </c:numRef>
          </c:val>
        </c:ser>
        <c:ser>
          <c:idx val="3"/>
          <c:order val="2"/>
          <c:tx>
            <c:strRef>
              <c:f>'Phasing - Chart'!$H$6</c:f>
              <c:strCache>
                <c:ptCount val="1"/>
                <c:pt idx="0">
                  <c:v>Replacement Cost</c:v>
                </c:pt>
              </c:strCache>
            </c:strRef>
          </c:tx>
          <c:invertIfNegative val="0"/>
          <c:val>
            <c:numRef>
              <c:f>'Phasing - Chart'!$H$7:$H$26</c:f>
              <c:numCache>
                <c:formatCode>_("$"* #,##0_);_("$"* \(#,##0\);_("$"* "-"??_);_(@_)</c:formatCode>
                <c:ptCount val="20"/>
                <c:pt idx="0">
                  <c:v>0</c:v>
                </c:pt>
                <c:pt idx="1">
                  <c:v>0</c:v>
                </c:pt>
                <c:pt idx="2">
                  <c:v>46550.1702</c:v>
                </c:pt>
                <c:pt idx="3">
                  <c:v>1884270.5742614998</c:v>
                </c:pt>
                <c:pt idx="4">
                  <c:v>1755082.9847864849</c:v>
                </c:pt>
                <c:pt idx="5">
                  <c:v>1833586.7065499322</c:v>
                </c:pt>
                <c:pt idx="6">
                  <c:v>2937430.7401807592</c:v>
                </c:pt>
                <c:pt idx="7">
                  <c:v>3619668.8305569733</c:v>
                </c:pt>
                <c:pt idx="8">
                  <c:v>4128563.3082724949</c:v>
                </c:pt>
                <c:pt idx="9">
                  <c:v>4252420.2075206703</c:v>
                </c:pt>
                <c:pt idx="10">
                  <c:v>4379992.8137462903</c:v>
                </c:pt>
                <c:pt idx="11">
                  <c:v>4511392.598158679</c:v>
                </c:pt>
                <c:pt idx="12">
                  <c:v>4646734.3761034394</c:v>
                </c:pt>
                <c:pt idx="13">
                  <c:v>4786136.4073865423</c:v>
                </c:pt>
                <c:pt idx="14">
                  <c:v>5163415.6120982533</c:v>
                </c:pt>
                <c:pt idx="15">
                  <c:v>5318318.0804612003</c:v>
                </c:pt>
                <c:pt idx="16">
                  <c:v>5477867.6228750367</c:v>
                </c:pt>
                <c:pt idx="17">
                  <c:v>5642203.6515612882</c:v>
                </c:pt>
                <c:pt idx="18">
                  <c:v>5811469.7611081256</c:v>
                </c:pt>
                <c:pt idx="19">
                  <c:v>5985813.8539413698</c:v>
                </c:pt>
              </c:numCache>
            </c:numRef>
          </c:val>
        </c:ser>
        <c:ser>
          <c:idx val="4"/>
          <c:order val="3"/>
          <c:tx>
            <c:strRef>
              <c:f>'Phasing - Chart'!$I$6</c:f>
              <c:strCache>
                <c:ptCount val="1"/>
                <c:pt idx="0">
                  <c:v>Annual Monitoring Cost</c:v>
                </c:pt>
              </c:strCache>
            </c:strRef>
          </c:tx>
          <c:invertIfNegative val="0"/>
          <c:val>
            <c:numRef>
              <c:f>'Phasing - Chart'!$I$7:$I$26</c:f>
              <c:numCache>
                <c:formatCode>_("$"* #,##0_);_("$"* \(#,##0\);_("$"* "-"??_);_(@_)</c:formatCode>
                <c:ptCount val="20"/>
                <c:pt idx="0">
                  <c:v>0</c:v>
                </c:pt>
                <c:pt idx="1">
                  <c:v>344580.31999999995</c:v>
                </c:pt>
                <c:pt idx="2">
                  <c:v>939089.58380000014</c:v>
                </c:pt>
                <c:pt idx="3">
                  <c:v>1316226.2778544999</c:v>
                </c:pt>
                <c:pt idx="4">
                  <c:v>359432.9267367149</c:v>
                </c:pt>
                <c:pt idx="5">
                  <c:v>660072.10952123115</c:v>
                </c:pt>
                <c:pt idx="6">
                  <c:v>2063974.3209560169</c:v>
                </c:pt>
                <c:pt idx="7">
                  <c:v>3056969.560404595</c:v>
                </c:pt>
                <c:pt idx="8">
                  <c:v>3200608.6199331367</c:v>
                </c:pt>
                <c:pt idx="9">
                  <c:v>3296626.8785311305</c:v>
                </c:pt>
                <c:pt idx="10">
                  <c:v>3410475.4106908888</c:v>
                </c:pt>
                <c:pt idx="11">
                  <c:v>3512789.6730116149</c:v>
                </c:pt>
                <c:pt idx="12">
                  <c:v>3618173.3632019632</c:v>
                </c:pt>
                <c:pt idx="13">
                  <c:v>3726718.5640980219</c:v>
                </c:pt>
                <c:pt idx="14">
                  <c:v>3838520.1210209629</c:v>
                </c:pt>
                <c:pt idx="15">
                  <c:v>3953675.7246515914</c:v>
                </c:pt>
                <c:pt idx="16">
                  <c:v>4072285.9963911385</c:v>
                </c:pt>
                <c:pt idx="17">
                  <c:v>4194454.5762828737</c:v>
                </c:pt>
                <c:pt idx="18">
                  <c:v>4320288.2135713603</c:v>
                </c:pt>
                <c:pt idx="19">
                  <c:v>4449896.8599785008</c:v>
                </c:pt>
              </c:numCache>
            </c:numRef>
          </c:val>
        </c:ser>
        <c:dLbls>
          <c:showLegendKey val="0"/>
          <c:showVal val="0"/>
          <c:showCatName val="0"/>
          <c:showSerName val="0"/>
          <c:showPercent val="0"/>
          <c:showBubbleSize val="0"/>
        </c:dLbls>
        <c:gapWidth val="150"/>
        <c:overlap val="100"/>
        <c:axId val="643912352"/>
        <c:axId val="578318704"/>
      </c:barChart>
      <c:catAx>
        <c:axId val="643912352"/>
        <c:scaling>
          <c:orientation val="minMax"/>
        </c:scaling>
        <c:delete val="0"/>
        <c:axPos val="b"/>
        <c:minorGridlines>
          <c:spPr>
            <a:ln>
              <a:noFill/>
            </a:ln>
          </c:spPr>
        </c:minorGridlines>
        <c:title>
          <c:tx>
            <c:rich>
              <a:bodyPr/>
              <a:lstStyle/>
              <a:p>
                <a:pPr>
                  <a:defRPr/>
                </a:pPr>
                <a:r>
                  <a:rPr lang="en-US"/>
                  <a:t>Implementation</a:t>
                </a:r>
                <a:r>
                  <a:rPr lang="en-US" baseline="0"/>
                  <a:t> </a:t>
                </a:r>
                <a:r>
                  <a:rPr lang="en-US"/>
                  <a:t>Year</a:t>
                </a:r>
              </a:p>
            </c:rich>
          </c:tx>
          <c:overlay val="0"/>
        </c:title>
        <c:majorTickMark val="out"/>
        <c:minorTickMark val="none"/>
        <c:tickLblPos val="nextTo"/>
        <c:crossAx val="578318704"/>
        <c:crosses val="autoZero"/>
        <c:auto val="0"/>
        <c:lblAlgn val="ctr"/>
        <c:lblOffset val="100"/>
        <c:noMultiLvlLbl val="0"/>
      </c:catAx>
      <c:valAx>
        <c:axId val="578318704"/>
        <c:scaling>
          <c:orientation val="minMax"/>
        </c:scaling>
        <c:delete val="0"/>
        <c:axPos val="l"/>
        <c:majorGridlines/>
        <c:minorGridlines/>
        <c:title>
          <c:tx>
            <c:rich>
              <a:bodyPr rot="-5400000" vert="horz"/>
              <a:lstStyle/>
              <a:p>
                <a:pPr>
                  <a:defRPr/>
                </a:pPr>
                <a:r>
                  <a:rPr lang="en-US"/>
                  <a:t>Cost (US Dollars)</a:t>
                </a:r>
              </a:p>
            </c:rich>
          </c:tx>
          <c:overlay val="0"/>
        </c:title>
        <c:numFmt formatCode="_(&quot;$&quot;* #,##0_);_(&quot;$&quot;* \(#,##0\);_(&quot;$&quot;* &quot;-&quot;??_);_(@_)" sourceLinked="1"/>
        <c:majorTickMark val="out"/>
        <c:minorTickMark val="none"/>
        <c:tickLblPos val="nextTo"/>
        <c:crossAx val="643912352"/>
        <c:crosses val="autoZero"/>
        <c:crossBetween val="between"/>
      </c:valAx>
    </c:plotArea>
    <c:legend>
      <c:legendPos val="b"/>
      <c:overlay val="0"/>
    </c:legend>
    <c:plotVisOnly val="1"/>
    <c:dispBlanksAs val="gap"/>
    <c:showDLblsOverMax val="0"/>
  </c:chart>
  <c:printSettings>
    <c:headerFooter>
      <c:oddFooter>&amp;LAECOM Technical Services, Inc.
Pocasset, MA&amp;RPAge &amp;P of &amp;N
Revised: March 15, 2016</c:oddFooter>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c:spPr>
          <c:dPt>
            <c:idx val="1"/>
            <c:bubble3D val="0"/>
          </c:dPt>
          <c:dLbls>
            <c:spPr>
              <a:noFill/>
              <a:ln>
                <a:noFill/>
              </a:ln>
              <a:effectLst/>
            </c:spPr>
            <c:dLblPos val="outEnd"/>
            <c:showLegendKey val="0"/>
            <c:showVal val="1"/>
            <c:showCatName val="1"/>
            <c:showSerName val="0"/>
            <c:showPercent val="1"/>
            <c:showBubbleSize val="0"/>
            <c:separator>
</c:separator>
            <c:showLeaderLines val="1"/>
            <c:extLst>
              <c:ext xmlns:c15="http://schemas.microsoft.com/office/drawing/2012/chart" uri="{CE6537A1-D6FC-4f65-9D91-7224C49458BB}">
                <c15:layout/>
              </c:ext>
            </c:extLst>
          </c:dLbls>
          <c:cat>
            <c:strRef>
              <c:f>'Phasing - Pie'!$E$6:$H$6</c:f>
              <c:strCache>
                <c:ptCount val="4"/>
                <c:pt idx="0">
                  <c:v>Capital Cost</c:v>
                </c:pt>
                <c:pt idx="1">
                  <c:v>Annual O&amp;M Cost</c:v>
                </c:pt>
                <c:pt idx="2">
                  <c:v>Replacement Cost</c:v>
                </c:pt>
                <c:pt idx="3">
                  <c:v>Annual Monitoring Cost</c:v>
                </c:pt>
              </c:strCache>
            </c:strRef>
          </c:cat>
          <c:val>
            <c:numRef>
              <c:f>'Phasing - Pie'!$E$7:$H$7</c:f>
              <c:numCache>
                <c:formatCode>_("$"* #,##0_);_("$"* \(#,##0\);_("$"* "-"??_);_(@_)</c:formatCode>
                <c:ptCount val="4"/>
                <c:pt idx="0">
                  <c:v>132994342.18638411</c:v>
                </c:pt>
                <c:pt idx="1">
                  <c:v>43597044.347265005</c:v>
                </c:pt>
                <c:pt idx="2">
                  <c:v>36090459.149884522</c:v>
                </c:pt>
                <c:pt idx="3">
                  <c:v>27253120.476495434</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spPr>
    <a:scene3d>
      <a:camera prst="orthographicFront"/>
      <a:lightRig rig="threePt" dir="t">
        <a:rot lat="0" lon="0" rev="0"/>
      </a:lightRig>
    </a:scene3d>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c:spPr>
          <c:dPt>
            <c:idx val="1"/>
            <c:bubble3D val="0"/>
          </c:dPt>
          <c:dLbls>
            <c:spPr>
              <a:noFill/>
              <a:ln>
                <a:noFill/>
              </a:ln>
              <a:effectLst/>
            </c:spPr>
            <c:dLblPos val="outEnd"/>
            <c:showLegendKey val="0"/>
            <c:showVal val="1"/>
            <c:showCatName val="1"/>
            <c:showSerName val="0"/>
            <c:showPercent val="1"/>
            <c:showBubbleSize val="0"/>
            <c:separator>
</c:separator>
            <c:showLeaderLines val="1"/>
            <c:extLst>
              <c:ext xmlns:c15="http://schemas.microsoft.com/office/drawing/2012/chart" uri="{CE6537A1-D6FC-4f65-9D91-7224C49458BB}">
                <c15:layout/>
              </c:ext>
            </c:extLst>
          </c:dLbls>
          <c:cat>
            <c:strRef>
              <c:f>'Phasing - Pie'!$Q$6:$T$6</c:f>
              <c:strCache>
                <c:ptCount val="4"/>
                <c:pt idx="0">
                  <c:v>Capital Cost</c:v>
                </c:pt>
                <c:pt idx="1">
                  <c:v>Annual O&amp;M Cost</c:v>
                </c:pt>
                <c:pt idx="2">
                  <c:v>Replacement Cost</c:v>
                </c:pt>
                <c:pt idx="3">
                  <c:v>Annual Monitoring Cost</c:v>
                </c:pt>
              </c:strCache>
            </c:strRef>
          </c:cat>
          <c:val>
            <c:numRef>
              <c:f>'Phasing - Pie'!$Q$7:$T$7</c:f>
              <c:numCache>
                <c:formatCode>_("$"* #,##0_);_("$"* \(#,##0\);_("$"* "-"??_);_(@_)</c:formatCode>
                <c:ptCount val="4"/>
                <c:pt idx="0">
                  <c:v>28608632.370559201</c:v>
                </c:pt>
                <c:pt idx="1">
                  <c:v>10077212.682203887</c:v>
                </c:pt>
                <c:pt idx="2">
                  <c:v>26767884.778494559</c:v>
                </c:pt>
                <c:pt idx="3">
                  <c:v>25750122.793804504</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spPr>
    <a:scene3d>
      <a:camera prst="orthographicFront"/>
      <a:lightRig rig="threePt" dir="t">
        <a:rot lat="0" lon="0" rev="0"/>
      </a:lightRig>
    </a:scene3d>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c:spPr>
          <c:dPt>
            <c:idx val="1"/>
            <c:bubble3D val="0"/>
          </c:dPt>
          <c:dLbls>
            <c:dLbl>
              <c:idx val="3"/>
              <c:layout>
                <c:manualLayout>
                  <c:x val="0.18518518518518523"/>
                  <c:y val="9.2592592592592587E-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Lst>
            </c:dLbl>
            <c:spPr>
              <a:noFill/>
              <a:ln>
                <a:noFill/>
              </a:ln>
              <a:effectLst/>
            </c:spPr>
            <c:dLblPos val="outEnd"/>
            <c:showLegendKey val="0"/>
            <c:showVal val="1"/>
            <c:showCatName val="1"/>
            <c:showSerName val="0"/>
            <c:showPercent val="1"/>
            <c:showBubbleSize val="0"/>
            <c:separator>
</c:separator>
            <c:showLeaderLines val="1"/>
            <c:extLst>
              <c:ext xmlns:c15="http://schemas.microsoft.com/office/drawing/2012/chart" uri="{CE6537A1-D6FC-4f65-9D91-7224C49458BB}">
                <c15:layout/>
              </c:ext>
            </c:extLst>
          </c:dLbls>
          <c:cat>
            <c:strRef>
              <c:f>'Phasing - Pie'!$E$50:$H$50</c:f>
              <c:strCache>
                <c:ptCount val="4"/>
                <c:pt idx="0">
                  <c:v>Capital Cost</c:v>
                </c:pt>
                <c:pt idx="1">
                  <c:v>Annual O&amp;M Cost</c:v>
                </c:pt>
                <c:pt idx="2">
                  <c:v>Replacement Cost</c:v>
                </c:pt>
                <c:pt idx="3">
                  <c:v>Annual Monitoring Cost</c:v>
                </c:pt>
              </c:strCache>
            </c:strRef>
          </c:cat>
          <c:val>
            <c:numRef>
              <c:f>'Phasing - Pie'!$E$51:$H$51</c:f>
              <c:numCache>
                <c:formatCode>_("$"* #,##0_);_("$"* \(#,##0\);_("$"* "-"??_);_(@_)</c:formatCode>
                <c:ptCount val="4"/>
                <c:pt idx="0">
                  <c:v>88376580.154244244</c:v>
                </c:pt>
                <c:pt idx="1">
                  <c:v>33340515.467690088</c:v>
                </c:pt>
                <c:pt idx="2">
                  <c:v>9322574.3713899571</c:v>
                </c:pt>
                <c:pt idx="3">
                  <c:v>1331615.830336309</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en-US"/>
        </a:p>
      </c:txPr>
    </c:legend>
    <c:plotVisOnly val="1"/>
    <c:dispBlanksAs val="gap"/>
    <c:showDLblsOverMax val="0"/>
  </c:chart>
  <c:spPr>
    <a:scene3d>
      <a:camera prst="orthographicFront"/>
      <a:lightRig rig="threePt" dir="t">
        <a:rot lat="0" lon="0" rev="0"/>
      </a:lightRig>
    </a:scene3d>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c:spPr>
          <c:dPt>
            <c:idx val="1"/>
            <c:bubble3D val="0"/>
          </c:dPt>
          <c:dLbls>
            <c:dLbl>
              <c:idx val="0"/>
              <c:layout>
                <c:manualLayout>
                  <c:x val="2.8892048216195196E-3"/>
                  <c:y val="-8.9111256926217559E-4"/>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Lst>
            </c:dLbl>
            <c:dLbl>
              <c:idx val="1"/>
              <c:layout>
                <c:manualLayout>
                  <c:x val="0.38888451443569555"/>
                  <c:y val="0.1765046296296296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Lst>
            </c:dLbl>
            <c:dLbl>
              <c:idx val="2"/>
              <c:layout>
                <c:manualLayout>
                  <c:x val="0.38965599786137844"/>
                  <c:y val="0.28067129629629628"/>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Lst>
            </c:dLbl>
            <c:dLbl>
              <c:idx val="3"/>
              <c:layout>
                <c:manualLayout>
                  <c:x val="0.40431661320112766"/>
                  <c:y val="6.770833333333332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Lst>
            </c:dLbl>
            <c:spPr>
              <a:noFill/>
              <a:ln>
                <a:noFill/>
              </a:ln>
              <a:effectLst/>
            </c:sp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'Phasing - Pie'!$Q$50:$T$50</c:f>
              <c:strCache>
                <c:ptCount val="4"/>
                <c:pt idx="0">
                  <c:v>Capital Cost</c:v>
                </c:pt>
                <c:pt idx="1">
                  <c:v>Annual O&amp;M Cost</c:v>
                </c:pt>
                <c:pt idx="2">
                  <c:v>Replacement Cost</c:v>
                </c:pt>
                <c:pt idx="3">
                  <c:v>Annual Monitoring Cost</c:v>
                </c:pt>
              </c:strCache>
            </c:strRef>
          </c:cat>
          <c:val>
            <c:numRef>
              <c:f>'Phasing - Pie'!$Q$51:$T$51</c:f>
              <c:numCache>
                <c:formatCode>_("$"* #,##0_);_("$"* \(#,##0\);_("$"* "-"??_);_(@_)</c:formatCode>
                <c:ptCount val="4"/>
                <c:pt idx="0">
                  <c:v>14507511.271440575</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en-US"/>
        </a:p>
      </c:txPr>
    </c:legend>
    <c:plotVisOnly val="1"/>
    <c:dispBlanksAs val="gap"/>
    <c:showDLblsOverMax val="0"/>
  </c:chart>
  <c:spPr>
    <a:scene3d>
      <a:camera prst="orthographicFront"/>
      <a:lightRig rig="threePt" dir="t">
        <a:rot lat="0" lon="0" rev="0"/>
      </a:lightRig>
    </a:scene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161925</xdr:colOff>
      <xdr:row>28</xdr:row>
      <xdr:rowOff>44450</xdr:rowOff>
    </xdr:from>
    <xdr:to>
      <xdr:col>13</xdr:col>
      <xdr:colOff>425450</xdr:colOff>
      <xdr:row>69</xdr:row>
      <xdr:rowOff>6350</xdr:rowOff>
    </xdr:to>
    <xdr:graphicFrame macro="">
      <xdr:nvGraphicFramePr>
        <xdr:cNvPr id="5" name="Chart 4" title="Town of Orleans, M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203199</xdr:colOff>
      <xdr:row>8</xdr:row>
      <xdr:rowOff>31748</xdr:rowOff>
    </xdr:from>
    <xdr:to>
      <xdr:col>10</xdr:col>
      <xdr:colOff>373183</xdr:colOff>
      <xdr:row>42</xdr:row>
      <xdr:rowOff>37610</xdr:rowOff>
    </xdr:to>
    <xdr:graphicFrame macro="">
      <xdr:nvGraphicFramePr>
        <xdr:cNvPr id="4"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217853</xdr:colOff>
      <xdr:row>8</xdr:row>
      <xdr:rowOff>17094</xdr:rowOff>
    </xdr:from>
    <xdr:to>
      <xdr:col>22</xdr:col>
      <xdr:colOff>387837</xdr:colOff>
      <xdr:row>42</xdr:row>
      <xdr:rowOff>22956</xdr:rowOff>
    </xdr:to>
    <xdr:graphicFrame macro="">
      <xdr:nvGraphicFramePr>
        <xdr:cNvPr id="3" name="Chart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249115</xdr:colOff>
      <xdr:row>52</xdr:row>
      <xdr:rowOff>14653</xdr:rowOff>
    </xdr:from>
    <xdr:to>
      <xdr:col>10</xdr:col>
      <xdr:colOff>419099</xdr:colOff>
      <xdr:row>86</xdr:row>
      <xdr:rowOff>20515</xdr:rowOff>
    </xdr:to>
    <xdr:graphicFrame macro="">
      <xdr:nvGraphicFramePr>
        <xdr:cNvPr id="5"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247160</xdr:colOff>
      <xdr:row>52</xdr:row>
      <xdr:rowOff>2441</xdr:rowOff>
    </xdr:from>
    <xdr:to>
      <xdr:col>22</xdr:col>
      <xdr:colOff>417144</xdr:colOff>
      <xdr:row>86</xdr:row>
      <xdr:rowOff>8303</xdr:rowOff>
    </xdr:to>
    <xdr:graphicFrame macro="">
      <xdr:nvGraphicFramePr>
        <xdr:cNvPr id="7"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xdr:colOff>
      <xdr:row>8</xdr:row>
      <xdr:rowOff>28575</xdr:rowOff>
    </xdr:from>
    <xdr:to>
      <xdr:col>5</xdr:col>
      <xdr:colOff>161925</xdr:colOff>
      <xdr:row>10</xdr:row>
      <xdr:rowOff>104775</xdr:rowOff>
    </xdr:to>
    <xdr:sp macro="" textlink="">
      <xdr:nvSpPr>
        <xdr:cNvPr id="2" name="Flowchart: Process 1"/>
        <xdr:cNvSpPr/>
      </xdr:nvSpPr>
      <xdr:spPr>
        <a:xfrm>
          <a:off x="800100" y="409575"/>
          <a:ext cx="13716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Septage Receiving and Storage</a:t>
          </a:r>
        </a:p>
      </xdr:txBody>
    </xdr:sp>
    <xdr:clientData/>
  </xdr:twoCellAnchor>
  <xdr:twoCellAnchor>
    <xdr:from>
      <xdr:col>3</xdr:col>
      <xdr:colOff>0</xdr:colOff>
      <xdr:row>12</xdr:row>
      <xdr:rowOff>85725</xdr:rowOff>
    </xdr:from>
    <xdr:to>
      <xdr:col>5</xdr:col>
      <xdr:colOff>152400</xdr:colOff>
      <xdr:row>14</xdr:row>
      <xdr:rowOff>161925</xdr:rowOff>
    </xdr:to>
    <xdr:sp macro="" textlink="">
      <xdr:nvSpPr>
        <xdr:cNvPr id="3" name="Flowchart: Process 2"/>
        <xdr:cNvSpPr/>
      </xdr:nvSpPr>
      <xdr:spPr>
        <a:xfrm>
          <a:off x="790575" y="1228725"/>
          <a:ext cx="13716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Wastewater Flow Stream</a:t>
          </a:r>
        </a:p>
      </xdr:txBody>
    </xdr:sp>
    <xdr:clientData/>
  </xdr:twoCellAnchor>
  <xdr:twoCellAnchor>
    <xdr:from>
      <xdr:col>6</xdr:col>
      <xdr:colOff>0</xdr:colOff>
      <xdr:row>12</xdr:row>
      <xdr:rowOff>85725</xdr:rowOff>
    </xdr:from>
    <xdr:to>
      <xdr:col>8</xdr:col>
      <xdr:colOff>152400</xdr:colOff>
      <xdr:row>14</xdr:row>
      <xdr:rowOff>161925</xdr:rowOff>
    </xdr:to>
    <xdr:sp macro="" textlink="">
      <xdr:nvSpPr>
        <xdr:cNvPr id="4" name="Flowchart: Process 3"/>
        <xdr:cNvSpPr/>
      </xdr:nvSpPr>
      <xdr:spPr>
        <a:xfrm>
          <a:off x="2619375" y="1228725"/>
          <a:ext cx="13716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Solids Dewatering</a:t>
          </a:r>
        </a:p>
      </xdr:txBody>
    </xdr:sp>
    <xdr:clientData/>
  </xdr:twoCellAnchor>
  <xdr:twoCellAnchor>
    <xdr:from>
      <xdr:col>9</xdr:col>
      <xdr:colOff>0</xdr:colOff>
      <xdr:row>12</xdr:row>
      <xdr:rowOff>85725</xdr:rowOff>
    </xdr:from>
    <xdr:to>
      <xdr:col>11</xdr:col>
      <xdr:colOff>0</xdr:colOff>
      <xdr:row>14</xdr:row>
      <xdr:rowOff>161925</xdr:rowOff>
    </xdr:to>
    <xdr:sp macro="" textlink="">
      <xdr:nvSpPr>
        <xdr:cNvPr id="5" name="Flowchart: Process 4"/>
        <xdr:cNvSpPr/>
      </xdr:nvSpPr>
      <xdr:spPr>
        <a:xfrm>
          <a:off x="4448175" y="1228725"/>
          <a:ext cx="12192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Solids</a:t>
          </a:r>
          <a:r>
            <a:rPr lang="en-US" sz="1000">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Disposal</a:t>
          </a:r>
        </a:p>
      </xdr:txBody>
    </xdr:sp>
    <xdr:clientData/>
  </xdr:twoCellAnchor>
  <xdr:twoCellAnchor>
    <xdr:from>
      <xdr:col>3</xdr:col>
      <xdr:colOff>9525</xdr:colOff>
      <xdr:row>18</xdr:row>
      <xdr:rowOff>0</xdr:rowOff>
    </xdr:from>
    <xdr:to>
      <xdr:col>5</xdr:col>
      <xdr:colOff>161925</xdr:colOff>
      <xdr:row>20</xdr:row>
      <xdr:rowOff>76200</xdr:rowOff>
    </xdr:to>
    <xdr:sp macro="" textlink="">
      <xdr:nvSpPr>
        <xdr:cNvPr id="6" name="Flowchart: Process 5"/>
        <xdr:cNvSpPr/>
      </xdr:nvSpPr>
      <xdr:spPr>
        <a:xfrm>
          <a:off x="190500" y="2476500"/>
          <a:ext cx="13716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Septage Receiving and Storage</a:t>
          </a:r>
        </a:p>
      </xdr:txBody>
    </xdr:sp>
    <xdr:clientData/>
  </xdr:twoCellAnchor>
  <xdr:twoCellAnchor>
    <xdr:from>
      <xdr:col>6</xdr:col>
      <xdr:colOff>0</xdr:colOff>
      <xdr:row>18</xdr:row>
      <xdr:rowOff>0</xdr:rowOff>
    </xdr:from>
    <xdr:to>
      <xdr:col>8</xdr:col>
      <xdr:colOff>152400</xdr:colOff>
      <xdr:row>20</xdr:row>
      <xdr:rowOff>76200</xdr:rowOff>
    </xdr:to>
    <xdr:sp macro="" textlink="">
      <xdr:nvSpPr>
        <xdr:cNvPr id="7" name="Flowchart: Process 6"/>
        <xdr:cNvSpPr/>
      </xdr:nvSpPr>
      <xdr:spPr>
        <a:xfrm>
          <a:off x="2009775" y="2476500"/>
          <a:ext cx="13716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Septage Thickening</a:t>
          </a:r>
        </a:p>
      </xdr:txBody>
    </xdr:sp>
    <xdr:clientData/>
  </xdr:twoCellAnchor>
  <xdr:twoCellAnchor>
    <xdr:from>
      <xdr:col>3</xdr:col>
      <xdr:colOff>0</xdr:colOff>
      <xdr:row>22</xdr:row>
      <xdr:rowOff>104775</xdr:rowOff>
    </xdr:from>
    <xdr:to>
      <xdr:col>5</xdr:col>
      <xdr:colOff>152400</xdr:colOff>
      <xdr:row>24</xdr:row>
      <xdr:rowOff>180975</xdr:rowOff>
    </xdr:to>
    <xdr:sp macro="" textlink="">
      <xdr:nvSpPr>
        <xdr:cNvPr id="8" name="Flowchart: Process 7"/>
        <xdr:cNvSpPr/>
      </xdr:nvSpPr>
      <xdr:spPr>
        <a:xfrm>
          <a:off x="180975" y="3343275"/>
          <a:ext cx="13716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Wastewater Flow Stream</a:t>
          </a:r>
        </a:p>
      </xdr:txBody>
    </xdr:sp>
    <xdr:clientData/>
  </xdr:twoCellAnchor>
  <xdr:twoCellAnchor>
    <xdr:from>
      <xdr:col>6</xdr:col>
      <xdr:colOff>0</xdr:colOff>
      <xdr:row>22</xdr:row>
      <xdr:rowOff>104775</xdr:rowOff>
    </xdr:from>
    <xdr:to>
      <xdr:col>8</xdr:col>
      <xdr:colOff>152400</xdr:colOff>
      <xdr:row>24</xdr:row>
      <xdr:rowOff>180975</xdr:rowOff>
    </xdr:to>
    <xdr:sp macro="" textlink="">
      <xdr:nvSpPr>
        <xdr:cNvPr id="9" name="Flowchart: Process 8"/>
        <xdr:cNvSpPr/>
      </xdr:nvSpPr>
      <xdr:spPr>
        <a:xfrm>
          <a:off x="2009775" y="3343275"/>
          <a:ext cx="13716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Solids Dewatering</a:t>
          </a:r>
        </a:p>
      </xdr:txBody>
    </xdr:sp>
    <xdr:clientData/>
  </xdr:twoCellAnchor>
  <xdr:twoCellAnchor>
    <xdr:from>
      <xdr:col>9</xdr:col>
      <xdr:colOff>0</xdr:colOff>
      <xdr:row>22</xdr:row>
      <xdr:rowOff>104775</xdr:rowOff>
    </xdr:from>
    <xdr:to>
      <xdr:col>11</xdr:col>
      <xdr:colOff>0</xdr:colOff>
      <xdr:row>24</xdr:row>
      <xdr:rowOff>180975</xdr:rowOff>
    </xdr:to>
    <xdr:sp macro="" textlink="">
      <xdr:nvSpPr>
        <xdr:cNvPr id="10" name="Flowchart: Process 9"/>
        <xdr:cNvSpPr/>
      </xdr:nvSpPr>
      <xdr:spPr>
        <a:xfrm>
          <a:off x="3838575" y="3343275"/>
          <a:ext cx="1219200" cy="457200"/>
        </a:xfrm>
        <a:prstGeom prst="flowChartProcess">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latin typeface="Arial" panose="020B0604020202020204" pitchFamily="34" charset="0"/>
              <a:cs typeface="Arial" panose="020B0604020202020204" pitchFamily="34" charset="0"/>
            </a:rPr>
            <a:t>Solids Disposal</a:t>
          </a:r>
        </a:p>
      </xdr:txBody>
    </xdr:sp>
    <xdr:clientData/>
  </xdr:twoCellAnchor>
  <xdr:twoCellAnchor>
    <xdr:from>
      <xdr:col>4</xdr:col>
      <xdr:colOff>76200</xdr:colOff>
      <xdr:row>10</xdr:row>
      <xdr:rowOff>104775</xdr:rowOff>
    </xdr:from>
    <xdr:to>
      <xdr:col>4</xdr:col>
      <xdr:colOff>85725</xdr:colOff>
      <xdr:row>12</xdr:row>
      <xdr:rowOff>85725</xdr:rowOff>
    </xdr:to>
    <xdr:cxnSp macro="">
      <xdr:nvCxnSpPr>
        <xdr:cNvPr id="11" name="Straight Arrow Connector 10"/>
        <xdr:cNvCxnSpPr>
          <a:stCxn id="2" idx="2"/>
          <a:endCxn id="3" idx="0"/>
        </xdr:cNvCxnSpPr>
      </xdr:nvCxnSpPr>
      <xdr:spPr>
        <a:xfrm flipH="1">
          <a:off x="1476375" y="866775"/>
          <a:ext cx="9525" cy="3619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13</xdr:row>
      <xdr:rowOff>123825</xdr:rowOff>
    </xdr:from>
    <xdr:to>
      <xdr:col>6</xdr:col>
      <xdr:colOff>0</xdr:colOff>
      <xdr:row>13</xdr:row>
      <xdr:rowOff>123825</xdr:rowOff>
    </xdr:to>
    <xdr:cxnSp macro="">
      <xdr:nvCxnSpPr>
        <xdr:cNvPr id="12" name="Straight Arrow Connector 11"/>
        <xdr:cNvCxnSpPr>
          <a:stCxn id="3" idx="3"/>
          <a:endCxn id="4" idx="1"/>
        </xdr:cNvCxnSpPr>
      </xdr:nvCxnSpPr>
      <xdr:spPr>
        <a:xfrm>
          <a:off x="2162175" y="1457325"/>
          <a:ext cx="4572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152400</xdr:colOff>
      <xdr:row>13</xdr:row>
      <xdr:rowOff>123825</xdr:rowOff>
    </xdr:from>
    <xdr:to>
      <xdr:col>9</xdr:col>
      <xdr:colOff>0</xdr:colOff>
      <xdr:row>13</xdr:row>
      <xdr:rowOff>123825</xdr:rowOff>
    </xdr:to>
    <xdr:cxnSp macro="">
      <xdr:nvCxnSpPr>
        <xdr:cNvPr id="13" name="Straight Arrow Connector 12"/>
        <xdr:cNvCxnSpPr>
          <a:stCxn id="4" idx="3"/>
          <a:endCxn id="5" idx="1"/>
        </xdr:cNvCxnSpPr>
      </xdr:nvCxnSpPr>
      <xdr:spPr>
        <a:xfrm>
          <a:off x="3990975" y="1457325"/>
          <a:ext cx="4572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19</xdr:row>
      <xdr:rowOff>38100</xdr:rowOff>
    </xdr:from>
    <xdr:to>
      <xdr:col>6</xdr:col>
      <xdr:colOff>0</xdr:colOff>
      <xdr:row>19</xdr:row>
      <xdr:rowOff>38100</xdr:rowOff>
    </xdr:to>
    <xdr:cxnSp macro="">
      <xdr:nvCxnSpPr>
        <xdr:cNvPr id="14" name="Straight Arrow Connector 13"/>
        <xdr:cNvCxnSpPr>
          <a:stCxn id="6" idx="3"/>
          <a:endCxn id="7" idx="1"/>
        </xdr:cNvCxnSpPr>
      </xdr:nvCxnSpPr>
      <xdr:spPr>
        <a:xfrm>
          <a:off x="1562100" y="2705100"/>
          <a:ext cx="4476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20</xdr:row>
      <xdr:rowOff>76200</xdr:rowOff>
    </xdr:from>
    <xdr:to>
      <xdr:col>7</xdr:col>
      <xdr:colOff>76200</xdr:colOff>
      <xdr:row>22</xdr:row>
      <xdr:rowOff>104775</xdr:rowOff>
    </xdr:to>
    <xdr:cxnSp macro="">
      <xdr:nvCxnSpPr>
        <xdr:cNvPr id="15" name="Straight Arrow Connector 14"/>
        <xdr:cNvCxnSpPr>
          <a:stCxn id="7" idx="2"/>
          <a:endCxn id="9" idx="0"/>
        </xdr:cNvCxnSpPr>
      </xdr:nvCxnSpPr>
      <xdr:spPr>
        <a:xfrm>
          <a:off x="2695575" y="2933700"/>
          <a:ext cx="0" cy="4095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23</xdr:row>
      <xdr:rowOff>142875</xdr:rowOff>
    </xdr:from>
    <xdr:to>
      <xdr:col>6</xdr:col>
      <xdr:colOff>0</xdr:colOff>
      <xdr:row>23</xdr:row>
      <xdr:rowOff>142875</xdr:rowOff>
    </xdr:to>
    <xdr:cxnSp macro="">
      <xdr:nvCxnSpPr>
        <xdr:cNvPr id="16" name="Straight Arrow Connector 15"/>
        <xdr:cNvCxnSpPr>
          <a:stCxn id="8" idx="3"/>
          <a:endCxn id="9" idx="1"/>
        </xdr:cNvCxnSpPr>
      </xdr:nvCxnSpPr>
      <xdr:spPr>
        <a:xfrm>
          <a:off x="1552575" y="3571875"/>
          <a:ext cx="4572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152400</xdr:colOff>
      <xdr:row>23</xdr:row>
      <xdr:rowOff>142875</xdr:rowOff>
    </xdr:from>
    <xdr:to>
      <xdr:col>9</xdr:col>
      <xdr:colOff>0</xdr:colOff>
      <xdr:row>23</xdr:row>
      <xdr:rowOff>142875</xdr:rowOff>
    </xdr:to>
    <xdr:cxnSp macro="">
      <xdr:nvCxnSpPr>
        <xdr:cNvPr id="17" name="Straight Arrow Connector 16"/>
        <xdr:cNvCxnSpPr>
          <a:stCxn id="9" idx="3"/>
          <a:endCxn id="10" idx="1"/>
        </xdr:cNvCxnSpPr>
      </xdr:nvCxnSpPr>
      <xdr:spPr>
        <a:xfrm>
          <a:off x="3381375" y="3571875"/>
          <a:ext cx="4572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kelly\Downloads\60476644_Cost%20Estimates_JR%20Addi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recet\Desktop\Orleans\Cost%20Estimate\Backup%20Information\Copy%20of%20jfb-%2060476644_Orleans_Cost%20Estimates_PRB_Internal_Feb15withFullSca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5-Year CIP"/>
      <sheetName val="Phasing - Data"/>
      <sheetName val="Phasing - Chart"/>
      <sheetName val="Phasing - Pie"/>
      <sheetName val="Collection - Downtown"/>
      <sheetName val="System Comparison - Downtown"/>
      <sheetName val="WWTF - Downtown"/>
      <sheetName val="Effluent Disposal - Downtown"/>
      <sheetName val="Collection - MP"/>
      <sheetName val="System Comparison - MP"/>
      <sheetName val="WWTF - MP"/>
      <sheetName val="Effluent Disposal - MP"/>
      <sheetName val="FCW - D1"/>
      <sheetName val="FCW - D2"/>
      <sheetName val="FCW - S1"/>
      <sheetName val="FCW - S2"/>
      <sheetName val="FCW - S3"/>
      <sheetName val="FCW - S4"/>
      <sheetName val="FCW - S5"/>
      <sheetName val="Aqua - D1"/>
      <sheetName val="Aqua - D2"/>
      <sheetName val="Aqua - S1"/>
      <sheetName val="Aqua - S2"/>
      <sheetName val="Aqua - S3"/>
      <sheetName val="Aqua - S4"/>
      <sheetName val="Aqua - S5"/>
      <sheetName val="PRB - D1"/>
      <sheetName val="PRB - D2"/>
      <sheetName val="PRB - S1"/>
      <sheetName val="PRB - S2"/>
      <sheetName val="PRB - S3"/>
      <sheetName val="PRB - S4"/>
      <sheetName val="PRB - S5"/>
      <sheetName val="Septic Impact Fee"/>
      <sheetName val="Sheet1"/>
      <sheetName val="Assumptions"/>
      <sheetName val="Units"/>
      <sheetName val="PV"/>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llection - Downtown"/>
      <sheetName val="WWTF - Downtown"/>
      <sheetName val="Effluent Disposal - Downtown"/>
      <sheetName val="Collection - MP"/>
      <sheetName val="WWTF - MP"/>
      <sheetName val="Effluent Disposal - MP"/>
      <sheetName val="FCW - D1"/>
      <sheetName val="FCW - D2"/>
      <sheetName val="FCW - S1"/>
      <sheetName val="FCW - S2"/>
      <sheetName val="FCW - S3"/>
      <sheetName val="FCW - S4"/>
      <sheetName val="FCW - S5"/>
      <sheetName val="Aqua - D1"/>
      <sheetName val="Aqua - D2"/>
      <sheetName val="Aqua - S1"/>
      <sheetName val="Aqua - S2"/>
      <sheetName val="Aqua - S3"/>
      <sheetName val="Aqua - S4"/>
      <sheetName val="Aqua - S5"/>
      <sheetName val="PRB -LF"/>
      <sheetName val="PRB-Eldredge Park"/>
      <sheetName val="PRB - S1"/>
      <sheetName val="PRB - S2"/>
      <sheetName val="PRB - S3"/>
      <sheetName val="PRB - S4"/>
      <sheetName val="PRB - S5"/>
      <sheetName val="Assumptions"/>
      <sheetName val="Units"/>
      <sheetName val="PRB - DT Assumptions"/>
      <sheetName val="PRB - Full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5">
          <cell r="E15">
            <v>1265</v>
          </cell>
        </row>
      </sheetData>
      <sheetData sheetId="24" refreshError="1"/>
      <sheetData sheetId="25" refreshError="1"/>
      <sheetData sheetId="26" refreshError="1"/>
      <sheetData sheetId="27" refreshError="1"/>
      <sheetData sheetId="28" refreshError="1"/>
      <sheetData sheetId="29"/>
      <sheetData sheetId="30">
        <row r="44">
          <cell r="B44">
            <v>2500</v>
          </cell>
        </row>
      </sheetData>
      <sheetData sheetId="31">
        <row r="37">
          <cell r="B37">
            <v>5785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2:S64"/>
  <sheetViews>
    <sheetView tabSelected="1" zoomScaleNormal="100" workbookViewId="0">
      <pane ySplit="6" topLeftCell="A42" activePane="bottomLeft" state="frozen"/>
      <selection pane="bottomLeft" activeCell="B60" sqref="B60"/>
    </sheetView>
  </sheetViews>
  <sheetFormatPr defaultRowHeight="12.75" x14ac:dyDescent="0.2"/>
  <cols>
    <col min="1" max="1" width="2.7109375" style="60" customWidth="1"/>
    <col min="2" max="2" width="70.7109375" style="60" customWidth="1"/>
    <col min="3" max="6" width="16.7109375" style="60" customWidth="1"/>
    <col min="7" max="7" width="2.7109375" style="60" customWidth="1"/>
    <col min="8" max="8" width="12.28515625" style="60" bestFit="1" customWidth="1"/>
    <col min="9" max="9" width="11.28515625" style="60" bestFit="1" customWidth="1"/>
    <col min="10"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row>
    <row r="3" spans="2:19" x14ac:dyDescent="0.2">
      <c r="B3" s="75" t="s">
        <v>275</v>
      </c>
      <c r="C3" s="75"/>
      <c r="D3" s="75"/>
      <c r="E3" s="75"/>
      <c r="F3" s="75"/>
    </row>
    <row r="4" spans="2:19" x14ac:dyDescent="0.2">
      <c r="B4" s="75" t="s">
        <v>280</v>
      </c>
      <c r="C4" s="75"/>
      <c r="D4" s="75"/>
      <c r="E4" s="75"/>
      <c r="F4" s="75"/>
    </row>
    <row r="5" spans="2:19" ht="13.5" thickBot="1" x14ac:dyDescent="0.25"/>
    <row r="6" spans="2:19" ht="26.25" thickBot="1" x14ac:dyDescent="0.25">
      <c r="B6" s="61" t="s">
        <v>4</v>
      </c>
      <c r="C6" s="25" t="s">
        <v>276</v>
      </c>
      <c r="D6" s="25" t="s">
        <v>54</v>
      </c>
      <c r="E6" s="25" t="s">
        <v>63</v>
      </c>
      <c r="F6" s="28" t="s">
        <v>53</v>
      </c>
    </row>
    <row r="7" spans="2:19" x14ac:dyDescent="0.2">
      <c r="B7" s="72"/>
      <c r="C7" s="68"/>
      <c r="D7" s="68"/>
      <c r="E7" s="68"/>
      <c r="F7" s="29"/>
    </row>
    <row r="8" spans="2:19" x14ac:dyDescent="0.2">
      <c r="B8" s="104" t="s">
        <v>224</v>
      </c>
      <c r="C8" s="68"/>
      <c r="D8" s="68"/>
      <c r="E8" s="68"/>
      <c r="F8" s="29"/>
    </row>
    <row r="9" spans="2:19" x14ac:dyDescent="0.2">
      <c r="B9" s="405" t="s">
        <v>43</v>
      </c>
      <c r="C9" s="68"/>
      <c r="D9" s="68"/>
      <c r="E9" s="68"/>
      <c r="F9" s="29"/>
    </row>
    <row r="10" spans="2:19" x14ac:dyDescent="0.2">
      <c r="B10" s="38" t="str">
        <f>'Collection - Downtown'!B5</f>
        <v xml:space="preserve">Collection System - Downtown Area </v>
      </c>
      <c r="C10" s="101">
        <f>'Collection - Downtown'!F34</f>
        <v>24180400</v>
      </c>
      <c r="D10" s="101">
        <f>'Collection - Downtown'!F63</f>
        <v>261400</v>
      </c>
      <c r="E10" s="101">
        <f>'Collection - Downtown'!F94</f>
        <v>43300</v>
      </c>
      <c r="F10" s="105">
        <f>'Collection - Downtown'!F123</f>
        <v>11900</v>
      </c>
      <c r="S10" s="147"/>
    </row>
    <row r="11" spans="2:19" x14ac:dyDescent="0.2">
      <c r="B11" s="38" t="str">
        <f>'WWTF - Downtown'!B5</f>
        <v>Wastewater Treatment Facility - Downtown Area (Overland Way)</v>
      </c>
      <c r="C11" s="101">
        <f>'WWTF - Downtown'!F34</f>
        <v>16539300</v>
      </c>
      <c r="D11" s="101">
        <f>'WWTF - Downtown'!F63</f>
        <v>952600</v>
      </c>
      <c r="E11" s="101">
        <f>'WWTF - Downtown'!F94</f>
        <v>266500</v>
      </c>
      <c r="F11" s="105">
        <f>'WWTF - Downtown'!F123</f>
        <v>16900</v>
      </c>
      <c r="S11" s="147"/>
    </row>
    <row r="12" spans="2:19" x14ac:dyDescent="0.2">
      <c r="B12" s="38" t="str">
        <f>'Effluent Disposal - Downtown'!B5</f>
        <v>Effluent Disposal - Downtown Area (Overland Way - Parcel 1/1A)</v>
      </c>
      <c r="C12" s="101">
        <f>'Effluent Disposal - Downtown'!F34</f>
        <v>2902200</v>
      </c>
      <c r="D12" s="101">
        <f>'Effluent Disposal - Downtown'!F63</f>
        <v>11300</v>
      </c>
      <c r="E12" s="101">
        <f>'Effluent Disposal - Downtown'!F94</f>
        <v>0</v>
      </c>
      <c r="F12" s="105">
        <f>'Effluent Disposal - Downtown'!F123</f>
        <v>10800</v>
      </c>
      <c r="S12" s="147"/>
    </row>
    <row r="13" spans="2:19" x14ac:dyDescent="0.2">
      <c r="B13" s="27" t="s">
        <v>11</v>
      </c>
      <c r="C13" s="26">
        <f>SUM(C10:C12)</f>
        <v>43621900</v>
      </c>
      <c r="D13" s="26">
        <f t="shared" ref="D13:F13" si="0">SUM(D10:D12)</f>
        <v>1225300</v>
      </c>
      <c r="E13" s="26">
        <f t="shared" ref="E13" si="1">SUM(E10:E12)</f>
        <v>309800</v>
      </c>
      <c r="F13" s="30">
        <f t="shared" si="0"/>
        <v>39600</v>
      </c>
      <c r="S13" s="147"/>
    </row>
    <row r="14" spans="2:19" x14ac:dyDescent="0.2">
      <c r="B14" s="27" t="s">
        <v>11</v>
      </c>
      <c r="C14" s="101"/>
      <c r="D14" s="101"/>
      <c r="E14" s="101"/>
      <c r="F14" s="105"/>
      <c r="S14" s="147"/>
    </row>
    <row r="15" spans="2:19" x14ac:dyDescent="0.2">
      <c r="B15" s="406" t="s">
        <v>44</v>
      </c>
      <c r="C15" s="101"/>
      <c r="D15" s="101"/>
      <c r="E15" s="101"/>
      <c r="F15" s="105"/>
      <c r="S15" s="147"/>
    </row>
    <row r="16" spans="2:19" x14ac:dyDescent="0.2">
      <c r="B16" s="555" t="str">
        <f>'Collection - MP'!B5</f>
        <v>Collection System - Meetinghouse Pond</v>
      </c>
      <c r="C16" s="101">
        <f>'Collection - MP'!F34</f>
        <v>21203300</v>
      </c>
      <c r="D16" s="101">
        <f>'Collection - MP'!F63</f>
        <v>166800</v>
      </c>
      <c r="E16" s="101">
        <f>'Collection - MP'!F94</f>
        <v>35900</v>
      </c>
      <c r="F16" s="105">
        <f>'Collection - MP'!F123</f>
        <v>3000</v>
      </c>
      <c r="S16" s="147"/>
    </row>
    <row r="17" spans="2:19" x14ac:dyDescent="0.2">
      <c r="B17" s="555" t="str">
        <f>'WWTF - MP'!B5</f>
        <v>Wastewater Treatment Facility - Meetinghouse Pond (223 Beach Road)</v>
      </c>
      <c r="C17" s="101">
        <f>'WWTF - MP'!F34</f>
        <v>8003100</v>
      </c>
      <c r="D17" s="101">
        <f>'WWTF - MP'!F63</f>
        <v>284300</v>
      </c>
      <c r="E17" s="101">
        <f>'WWTF - MP'!F94</f>
        <v>117500</v>
      </c>
      <c r="F17" s="105">
        <f>'WWTF - MP'!F123</f>
        <v>16900</v>
      </c>
      <c r="S17" s="147"/>
    </row>
    <row r="18" spans="2:19" x14ac:dyDescent="0.2">
      <c r="B18" s="555" t="str">
        <f>'Effluent Disposal - MP'!B5</f>
        <v>Effluent Disposal - Meetinghouse Pond (223 Beach Road)</v>
      </c>
      <c r="C18" s="101">
        <f>'Effluent Disposal - MP'!F34</f>
        <v>1189000</v>
      </c>
      <c r="D18" s="101">
        <f>'Effluent Disposal - MP'!F63</f>
        <v>11300</v>
      </c>
      <c r="E18" s="101">
        <f>'Effluent Disposal - MP'!F94</f>
        <v>0</v>
      </c>
      <c r="F18" s="105">
        <f>'Effluent Disposal - MP'!F123</f>
        <v>10800</v>
      </c>
      <c r="S18" s="147"/>
    </row>
    <row r="19" spans="2:19" x14ac:dyDescent="0.2">
      <c r="B19" s="553" t="s">
        <v>11</v>
      </c>
      <c r="C19" s="26">
        <f>SUM(C16:C18)</f>
        <v>30395400</v>
      </c>
      <c r="D19" s="26">
        <f t="shared" ref="D19:E19" si="2">SUM(D16:D18)</f>
        <v>462400</v>
      </c>
      <c r="E19" s="26">
        <f t="shared" si="2"/>
        <v>153400</v>
      </c>
      <c r="F19" s="30">
        <f t="shared" ref="F19" si="3">SUM(F16:F18)</f>
        <v>30700</v>
      </c>
      <c r="S19" s="147"/>
    </row>
    <row r="20" spans="2:19" x14ac:dyDescent="0.2">
      <c r="B20" s="553" t="s">
        <v>11</v>
      </c>
      <c r="C20" s="103"/>
      <c r="D20" s="103"/>
      <c r="E20" s="103"/>
      <c r="F20" s="106"/>
      <c r="S20" s="147"/>
    </row>
    <row r="21" spans="2:19" x14ac:dyDescent="0.2">
      <c r="B21" s="554" t="s">
        <v>45</v>
      </c>
      <c r="C21" s="103"/>
      <c r="D21" s="103"/>
      <c r="E21" s="103"/>
      <c r="F21" s="106"/>
      <c r="S21" s="147"/>
    </row>
    <row r="22" spans="2:19" x14ac:dyDescent="0.2">
      <c r="B22" s="406" t="s">
        <v>15</v>
      </c>
      <c r="C22" s="103"/>
      <c r="D22" s="103"/>
      <c r="E22" s="103"/>
      <c r="F22" s="106"/>
      <c r="S22" s="147"/>
    </row>
    <row r="23" spans="2:19" x14ac:dyDescent="0.2">
      <c r="B23" s="555" t="str">
        <f>'FCW - D1'!B5</f>
        <v>Floating Constructed Wetlands - Demonstration 1 - Data Refinement</v>
      </c>
      <c r="C23" s="101">
        <f>'FCW - D1'!F34</f>
        <v>50000</v>
      </c>
      <c r="D23" s="101">
        <f>'FCW - D1'!F63</f>
        <v>0</v>
      </c>
      <c r="E23" s="101">
        <f>'FCW - D1'!F94</f>
        <v>0</v>
      </c>
      <c r="F23" s="105">
        <f>'FCW - D1'!F123</f>
        <v>0</v>
      </c>
      <c r="S23" s="147"/>
    </row>
    <row r="24" spans="2:19" x14ac:dyDescent="0.2">
      <c r="B24" s="555" t="str">
        <f>'FCW - D2'!B5</f>
        <v>Floating Constructed Wetlands - Demonstration 2 - Lonnie's Pond</v>
      </c>
      <c r="C24" s="101">
        <f>'FCW - D2'!F34</f>
        <v>2222600</v>
      </c>
      <c r="D24" s="101">
        <f>'FCW - D2'!F63</f>
        <v>13600</v>
      </c>
      <c r="E24" s="101">
        <f>'FCW - D2'!F94</f>
        <v>25500</v>
      </c>
      <c r="F24" s="105">
        <f>'FCW - D2'!F123</f>
        <v>127100</v>
      </c>
      <c r="S24" s="147"/>
    </row>
    <row r="25" spans="2:19" x14ac:dyDescent="0.2">
      <c r="B25" s="555" t="str">
        <f>'FCW - S1'!B5</f>
        <v>Floating Constructed Wetlands - Site 1 - Cost Efficacy to Be Validated</v>
      </c>
      <c r="C25" s="101">
        <f>'FCW - S1'!F34</f>
        <v>15053200</v>
      </c>
      <c r="D25" s="101">
        <f>'FCW - S1'!F63</f>
        <v>68000</v>
      </c>
      <c r="E25" s="101">
        <f>'FCW - S1'!F94</f>
        <v>133100</v>
      </c>
      <c r="F25" s="105">
        <f>'FCW - S1'!F123</f>
        <v>367500</v>
      </c>
    </row>
    <row r="26" spans="2:19" x14ac:dyDescent="0.2">
      <c r="B26" s="555" t="str">
        <f>'FCW - S2'!B5</f>
        <v>Floating Constructed Wetlands - Site 2</v>
      </c>
      <c r="C26" s="101">
        <f>'FCW - S2'!F34</f>
        <v>0</v>
      </c>
      <c r="D26" s="101">
        <f>'FCW - S2'!F63</f>
        <v>0</v>
      </c>
      <c r="E26" s="101">
        <f>'FCW - S2'!F94</f>
        <v>0</v>
      </c>
      <c r="F26" s="105">
        <f>'FCW - S2'!F123</f>
        <v>0</v>
      </c>
    </row>
    <row r="27" spans="2:19" x14ac:dyDescent="0.2">
      <c r="B27" s="555" t="str">
        <f>'FCW - S3'!B5</f>
        <v>Floating Constructed Wetlands - Site 3</v>
      </c>
      <c r="C27" s="101">
        <f>'FCW - S3'!F34</f>
        <v>0</v>
      </c>
      <c r="D27" s="101">
        <f>'FCW - S3'!F63</f>
        <v>0</v>
      </c>
      <c r="E27" s="101">
        <f>'FCW - S3'!F94</f>
        <v>0</v>
      </c>
      <c r="F27" s="105">
        <f>'FCW - S3'!F123</f>
        <v>0</v>
      </c>
    </row>
    <row r="28" spans="2:19" x14ac:dyDescent="0.2">
      <c r="B28" s="555" t="str">
        <f>'FCW - S4'!B5</f>
        <v>Floating Constructed Wetlands - Site 4</v>
      </c>
      <c r="C28" s="101">
        <f>'FCW - S4'!F34</f>
        <v>0</v>
      </c>
      <c r="D28" s="101">
        <f>'FCW - S4'!F63</f>
        <v>0</v>
      </c>
      <c r="E28" s="101">
        <f>'FCW - S4'!F94</f>
        <v>0</v>
      </c>
      <c r="F28" s="105">
        <f>'FCW - S4'!F123</f>
        <v>0</v>
      </c>
    </row>
    <row r="29" spans="2:19" x14ac:dyDescent="0.2">
      <c r="B29" s="555" t="str">
        <f>'FCW - S5'!B5</f>
        <v>Floating Constructed Wetlands - Site 5</v>
      </c>
      <c r="C29" s="101">
        <f>'FCW - S5'!F34</f>
        <v>0</v>
      </c>
      <c r="D29" s="101">
        <f>'FCW - S5'!F63</f>
        <v>0</v>
      </c>
      <c r="E29" s="101">
        <f>'FCW - S5'!F94</f>
        <v>0</v>
      </c>
      <c r="F29" s="105">
        <f>'FCW - S5'!F123</f>
        <v>0</v>
      </c>
      <c r="H29" s="218"/>
    </row>
    <row r="30" spans="2:19" x14ac:dyDescent="0.2">
      <c r="B30" s="555"/>
      <c r="C30" s="101"/>
      <c r="D30" s="101"/>
      <c r="E30" s="101"/>
      <c r="F30" s="105"/>
    </row>
    <row r="31" spans="2:19" x14ac:dyDescent="0.2">
      <c r="B31" s="406" t="s">
        <v>39</v>
      </c>
      <c r="C31" s="101"/>
      <c r="D31" s="101"/>
      <c r="E31" s="101"/>
      <c r="F31" s="105"/>
    </row>
    <row r="32" spans="2:19" ht="25.5" x14ac:dyDescent="0.2">
      <c r="B32" s="555" t="str">
        <f>'Aqua - D1'!B5</f>
        <v>Aquaculture/Shellfish Propagation - Demonstration 1 - Terminal Pond Oyster Bed</v>
      </c>
      <c r="C32" s="101">
        <f>'Aqua - D1'!F34</f>
        <v>126900</v>
      </c>
      <c r="D32" s="101">
        <f>'Aqua - D1'!F63</f>
        <v>143800</v>
      </c>
      <c r="E32" s="101">
        <f>'Aqua - D1'!F94</f>
        <v>0</v>
      </c>
      <c r="F32" s="105">
        <f>'Aqua - D1'!F123</f>
        <v>0</v>
      </c>
    </row>
    <row r="33" spans="2:9" ht="25.5" x14ac:dyDescent="0.2">
      <c r="B33" s="555" t="str">
        <f>'Aqua - D2'!B5</f>
        <v>Aquaculture/Shellfish Propagation - Demonstration 2 - Quanset Pond Oyster Bed</v>
      </c>
      <c r="C33" s="101">
        <f>'Aqua - D2'!F34</f>
        <v>49900</v>
      </c>
      <c r="D33" s="101">
        <f>'Aqua - D2'!F63</f>
        <v>216400</v>
      </c>
      <c r="E33" s="101">
        <f>'Aqua - D2'!F94</f>
        <v>0</v>
      </c>
      <c r="F33" s="105">
        <f>'Aqua - D2'!F123</f>
        <v>54700</v>
      </c>
    </row>
    <row r="34" spans="2:9" ht="25.5" x14ac:dyDescent="0.2">
      <c r="B34" s="555" t="str">
        <f>'Aqua - D3'!B5</f>
        <v>Aquaculture/Shellfish Propagation - Demonstration 3 - Shellfish Extension Program</v>
      </c>
      <c r="C34" s="101">
        <f>'Aqua - D3'!F34</f>
        <v>76900</v>
      </c>
      <c r="D34" s="101">
        <f>'Aqua - D3'!F63</f>
        <v>0</v>
      </c>
      <c r="E34" s="101">
        <f>'Aqua - D3'!F94</f>
        <v>533000</v>
      </c>
      <c r="F34" s="105">
        <f>'Aqua - D3'!F123</f>
        <v>58900</v>
      </c>
    </row>
    <row r="35" spans="2:9" x14ac:dyDescent="0.2">
      <c r="B35" s="555" t="str">
        <f>'Aqua - D4'!B5</f>
        <v>Aquaculture/Shellfish Propagation - Demonstration 4 - Quahog Inventory</v>
      </c>
      <c r="C35" s="101">
        <f>'Aqua - D4'!F34</f>
        <v>50800</v>
      </c>
      <c r="D35" s="101">
        <f>'Aqua - D4'!F63</f>
        <v>0</v>
      </c>
      <c r="E35" s="101">
        <f>'Aqua - D4'!F94</f>
        <v>0</v>
      </c>
      <c r="F35" s="105">
        <f>'Aqua - D4'!F123</f>
        <v>0</v>
      </c>
    </row>
    <row r="36" spans="2:9" x14ac:dyDescent="0.2">
      <c r="B36" s="555" t="str">
        <f>'Aqua - S1'!B5</f>
        <v>Aquaculture/Shellfish Propagation - Site 1 - Shellfish Extension Program</v>
      </c>
      <c r="C36" s="101">
        <f>'Aqua - S1'!F34</f>
        <v>432300</v>
      </c>
      <c r="D36" s="101">
        <f>'Aqua - S1'!F63</f>
        <v>283300</v>
      </c>
      <c r="E36" s="101">
        <f>'Aqua - S1'!F94</f>
        <v>426400</v>
      </c>
      <c r="F36" s="105">
        <f>'Aqua - S1'!F123</f>
        <v>58900</v>
      </c>
    </row>
    <row r="37" spans="2:9" ht="25.5" x14ac:dyDescent="0.2">
      <c r="B37" s="555" t="str">
        <f>'Aqua - S2'!B5</f>
        <v>Aquaculture/Shellfish Propagation - Demonstration 2 - Quanset Pond Oyster Bed (2nd Year)</v>
      </c>
      <c r="C37" s="101">
        <f>'Aqua - S2'!F34</f>
        <v>756700</v>
      </c>
      <c r="D37" s="101">
        <f>'Aqua - S2'!F63</f>
        <v>0</v>
      </c>
      <c r="E37" s="101">
        <f>'Aqua - S2'!F94</f>
        <v>0</v>
      </c>
      <c r="F37" s="105">
        <f>'Aqua - S2'!F123</f>
        <v>59500</v>
      </c>
    </row>
    <row r="38" spans="2:9" x14ac:dyDescent="0.2">
      <c r="B38" s="555" t="str">
        <f>'Aqua - S3'!B5</f>
        <v>Aquaculture/Shellfish Propagation - Full Scale Location TBD</v>
      </c>
      <c r="C38" s="101">
        <f>'Aqua - S3'!F34</f>
        <v>1080800</v>
      </c>
      <c r="D38" s="101">
        <f>'Aqua - S3'!F63</f>
        <v>56700</v>
      </c>
      <c r="E38" s="101">
        <f>'Aqua - S3'!F94</f>
        <v>159800</v>
      </c>
      <c r="F38" s="105">
        <f>'Aqua - S3'!F123</f>
        <v>59500</v>
      </c>
    </row>
    <row r="39" spans="2:9" x14ac:dyDescent="0.2">
      <c r="B39" s="555"/>
      <c r="C39" s="101"/>
      <c r="D39" s="101"/>
      <c r="E39" s="101"/>
      <c r="F39" s="105"/>
    </row>
    <row r="40" spans="2:9" x14ac:dyDescent="0.2">
      <c r="B40" s="406" t="s">
        <v>38</v>
      </c>
      <c r="C40" s="101"/>
      <c r="D40" s="101"/>
      <c r="E40" s="101"/>
      <c r="F40" s="105"/>
    </row>
    <row r="41" spans="2:9" ht="25.5" x14ac:dyDescent="0.2">
      <c r="B41" s="555" t="str">
        <f>'PRB - D1'!B5</f>
        <v>Permeable Reactive Barriers - Demonstration 1 - Landfill Focused Injection Test</v>
      </c>
      <c r="C41" s="101">
        <f>'PRB - D1'!F34</f>
        <v>235900</v>
      </c>
      <c r="D41" s="101">
        <f>'PRB - D1'!F63</f>
        <v>0</v>
      </c>
      <c r="E41" s="101">
        <f>'PRB - D1'!F94</f>
        <v>21300</v>
      </c>
      <c r="F41" s="105">
        <f>'PRB - D1'!F123</f>
        <v>107700</v>
      </c>
    </row>
    <row r="42" spans="2:9" ht="25.5" x14ac:dyDescent="0.2">
      <c r="B42" s="555" t="str">
        <f>'PRB - D2'!B5</f>
        <v>Permeable Reactive Barriers - Demonstration 2 (Eldredge Park South Main St. Area)</v>
      </c>
      <c r="C42" s="101">
        <f>'PRB - D2'!F34</f>
        <v>763900</v>
      </c>
      <c r="D42" s="101">
        <f>'PRB - D2'!F63</f>
        <v>0</v>
      </c>
      <c r="E42" s="101">
        <f>'PRB - D2'!F94</f>
        <v>58800</v>
      </c>
      <c r="F42" s="105">
        <f>'PRB - D2'!F123</f>
        <v>267300</v>
      </c>
      <c r="I42" s="218"/>
    </row>
    <row r="43" spans="2:9" x14ac:dyDescent="0.2">
      <c r="B43" s="555" t="str">
        <f>'PRB - S1'!B5</f>
        <v>Permeable Reactive Barriers - Site 1</v>
      </c>
      <c r="C43" s="101">
        <f>'PRB - S1'!F34</f>
        <v>612800</v>
      </c>
      <c r="D43" s="101">
        <f>'PRB - S1'!F63</f>
        <v>0</v>
      </c>
      <c r="E43" s="101">
        <f>'PRB - S1'!F94</f>
        <v>16100</v>
      </c>
      <c r="F43" s="105">
        <f>'PRB - S1'!F123</f>
        <v>107700</v>
      </c>
    </row>
    <row r="44" spans="2:9" x14ac:dyDescent="0.2">
      <c r="B44" s="555" t="str">
        <f>'PRB - S2'!B5</f>
        <v>Permeable Reactive Barriers - Site 2</v>
      </c>
      <c r="C44" s="101">
        <f>'PRB - S2'!F34</f>
        <v>3182800</v>
      </c>
      <c r="D44" s="101">
        <f>'PRB - S2'!F63</f>
        <v>0</v>
      </c>
      <c r="E44" s="101">
        <f>'PRB - S2'!F94</f>
        <v>85300</v>
      </c>
      <c r="F44" s="105">
        <f>'PRB - S2'!F123</f>
        <v>455000</v>
      </c>
    </row>
    <row r="45" spans="2:9" x14ac:dyDescent="0.2">
      <c r="B45" s="555" t="str">
        <f>'PRB - S3'!B5</f>
        <v>Permeable Reactive Barriers - Site 3</v>
      </c>
      <c r="C45" s="101">
        <f>'PRB - S3'!F34</f>
        <v>0</v>
      </c>
      <c r="D45" s="101">
        <f>'PRB - S3'!F63</f>
        <v>0</v>
      </c>
      <c r="E45" s="101">
        <f>'PRB - S3'!F94</f>
        <v>0</v>
      </c>
      <c r="F45" s="105">
        <f>'PRB - S3'!F123</f>
        <v>0</v>
      </c>
    </row>
    <row r="46" spans="2:9" x14ac:dyDescent="0.2">
      <c r="B46" s="555" t="str">
        <f>'PRB - S4'!B5</f>
        <v>Permeable Reactive Barriers - Site 4</v>
      </c>
      <c r="C46" s="101">
        <f>'PRB - S4'!F34</f>
        <v>0</v>
      </c>
      <c r="D46" s="101">
        <f>'PRB - S4'!F63</f>
        <v>0</v>
      </c>
      <c r="E46" s="101">
        <f>'PRB - S4'!F94</f>
        <v>0</v>
      </c>
      <c r="F46" s="105">
        <f>'PRB - S4'!F123</f>
        <v>0</v>
      </c>
    </row>
    <row r="47" spans="2:9" x14ac:dyDescent="0.2">
      <c r="B47" s="555" t="str">
        <f>'PRB - S5'!B5</f>
        <v>Permeable Reactive Barriers - Site 5</v>
      </c>
      <c r="C47" s="101">
        <f>'PRB - S5'!F34</f>
        <v>0</v>
      </c>
      <c r="D47" s="101">
        <f>'PRB - S5'!F63</f>
        <v>0</v>
      </c>
      <c r="E47" s="101">
        <f>'PRB - S5'!F94</f>
        <v>0</v>
      </c>
      <c r="F47" s="105">
        <f>'PRB - S5'!F123</f>
        <v>0</v>
      </c>
    </row>
    <row r="48" spans="2:9" x14ac:dyDescent="0.2">
      <c r="B48" s="102" t="s">
        <v>11</v>
      </c>
      <c r="C48" s="26">
        <f>SUM(C23:C47)</f>
        <v>24695500</v>
      </c>
      <c r="D48" s="26">
        <f>SUM(D23:D47)</f>
        <v>781800</v>
      </c>
      <c r="E48" s="26">
        <f>SUM(E23:E47)</f>
        <v>1459300</v>
      </c>
      <c r="F48" s="30">
        <f>SUM(F23:F47)</f>
        <v>1723800</v>
      </c>
    </row>
    <row r="49" spans="2:6" x14ac:dyDescent="0.2">
      <c r="B49" s="121"/>
      <c r="C49" s="103"/>
      <c r="D49" s="103"/>
      <c r="E49" s="103"/>
      <c r="F49" s="106"/>
    </row>
    <row r="50" spans="2:6" x14ac:dyDescent="0.2">
      <c r="B50" s="199" t="s">
        <v>375</v>
      </c>
      <c r="C50" s="103"/>
      <c r="D50" s="103"/>
      <c r="E50" s="103"/>
      <c r="F50" s="106"/>
    </row>
    <row r="51" spans="2:6" x14ac:dyDescent="0.2">
      <c r="B51" s="407" t="str">
        <f>'5-Year CIP'!C18</f>
        <v>Adaptive Management Implementation</v>
      </c>
      <c r="C51" s="101">
        <f>SUM('Phasing - Data'!D236:D255)</f>
        <v>6217000</v>
      </c>
      <c r="D51" s="101">
        <f>SUM('Phasing - Data'!E236:E255)</f>
        <v>0</v>
      </c>
      <c r="E51" s="101">
        <f>SUM('Phasing - Data'!F236:F255)</f>
        <v>0</v>
      </c>
      <c r="F51" s="105">
        <f>SUM('Phasing - Data'!G236:G255)</f>
        <v>0</v>
      </c>
    </row>
    <row r="52" spans="2:6" x14ac:dyDescent="0.2">
      <c r="B52" s="38" t="s">
        <v>11</v>
      </c>
      <c r="C52" s="101"/>
      <c r="D52" s="101"/>
      <c r="E52" s="101"/>
      <c r="F52" s="105"/>
    </row>
    <row r="53" spans="2:6" x14ac:dyDescent="0.2">
      <c r="B53" s="406" t="str">
        <f>'5-Year CIP'!C26</f>
        <v>Program Management</v>
      </c>
      <c r="C53" s="101">
        <f>SUM('Phasing - Data'!D258:D277)</f>
        <v>4217900</v>
      </c>
      <c r="D53" s="101">
        <f>SUM('Phasing - Data'!E258:E277)</f>
        <v>0</v>
      </c>
      <c r="E53" s="101">
        <f>SUM('Phasing - Data'!F258:F277)</f>
        <v>0</v>
      </c>
      <c r="F53" s="105">
        <f>SUM('Phasing - Data'!G258:G277)</f>
        <v>0</v>
      </c>
    </row>
    <row r="54" spans="2:6" x14ac:dyDescent="0.2">
      <c r="B54" s="38"/>
      <c r="C54" s="101"/>
      <c r="D54" s="101"/>
      <c r="E54" s="101"/>
      <c r="F54" s="105"/>
    </row>
    <row r="55" spans="2:6" x14ac:dyDescent="0.2">
      <c r="B55" s="406" t="s">
        <v>371</v>
      </c>
      <c r="C55" s="101">
        <f>SUM('Phasing - Data'!D280:D289)</f>
        <v>212500</v>
      </c>
      <c r="D55" s="101">
        <f>SUM('Phasing - Data'!E280:E289)</f>
        <v>0</v>
      </c>
      <c r="E55" s="101">
        <f>SUM('Phasing - Data'!F280:F289)</f>
        <v>0</v>
      </c>
      <c r="F55" s="408">
        <f>SUM('Phasing - Data'!G280:G289)</f>
        <v>0</v>
      </c>
    </row>
    <row r="56" spans="2:6" x14ac:dyDescent="0.2">
      <c r="B56" s="121"/>
      <c r="C56" s="26">
        <f>SUM(C51:C55)</f>
        <v>10647400</v>
      </c>
      <c r="D56" s="26">
        <f t="shared" ref="D56:F56" si="4">SUM(D51:D55)</f>
        <v>0</v>
      </c>
      <c r="E56" s="26">
        <f t="shared" si="4"/>
        <v>0</v>
      </c>
      <c r="F56" s="30">
        <f t="shared" si="4"/>
        <v>0</v>
      </c>
    </row>
    <row r="57" spans="2:6" x14ac:dyDescent="0.2">
      <c r="B57" s="121"/>
      <c r="C57" s="103"/>
      <c r="D57" s="103"/>
      <c r="E57" s="103"/>
      <c r="F57" s="106"/>
    </row>
    <row r="58" spans="2:6" x14ac:dyDescent="0.2">
      <c r="B58" s="32" t="s">
        <v>46</v>
      </c>
      <c r="C58" s="107">
        <f>C13+C19+C48+C56</f>
        <v>109360200</v>
      </c>
      <c r="D58" s="107">
        <f>D13+D19+D48+D56</f>
        <v>2469500</v>
      </c>
      <c r="E58" s="107">
        <f>E13+E19+E48+E56</f>
        <v>1922500</v>
      </c>
      <c r="F58" s="108">
        <f>F13+F19+F48+F56</f>
        <v>1794100</v>
      </c>
    </row>
    <row r="59" spans="2:6" x14ac:dyDescent="0.2">
      <c r="B59" s="121"/>
      <c r="C59" s="103"/>
      <c r="D59" s="103"/>
      <c r="E59" s="103"/>
      <c r="F59" s="106"/>
    </row>
    <row r="60" spans="2:6" x14ac:dyDescent="0.2">
      <c r="B60" s="104" t="str">
        <f>'Septic Impact Fee'!B4</f>
        <v>Septic Impact Fee</v>
      </c>
      <c r="C60" s="101">
        <f>'Septic Impact Fee'!C19</f>
        <v>200</v>
      </c>
      <c r="D60" s="101" t="s">
        <v>198</v>
      </c>
      <c r="E60" s="101"/>
      <c r="F60" s="105"/>
    </row>
    <row r="61" spans="2:6" x14ac:dyDescent="0.2">
      <c r="B61" s="32"/>
      <c r="C61" s="107"/>
      <c r="D61" s="107"/>
      <c r="E61" s="107"/>
      <c r="F61" s="108"/>
    </row>
    <row r="62" spans="2:6" x14ac:dyDescent="0.2">
      <c r="B62" s="33" t="str">
        <f>CONCATENATE(Assumptions!B57," ","="," ",Assumptions!C57," ","(",Assumptions!E57,")")</f>
        <v>Engineering News Record (ENR) = 10182 (Feb. 2016)</v>
      </c>
      <c r="C62" s="107"/>
      <c r="D62" s="107"/>
      <c r="E62" s="107"/>
      <c r="F62" s="108"/>
    </row>
    <row r="63" spans="2:6" ht="13.5" thickBot="1" x14ac:dyDescent="0.25">
      <c r="B63" s="73"/>
      <c r="C63" s="71"/>
      <c r="D63" s="71"/>
      <c r="E63" s="71"/>
      <c r="F63" s="31"/>
    </row>
    <row r="64" spans="2:6" x14ac:dyDescent="0.2">
      <c r="B64" s="63"/>
      <c r="C64" s="68"/>
      <c r="D64" s="68"/>
      <c r="E64" s="68"/>
      <c r="F64" s="68"/>
    </row>
  </sheetData>
  <sheetProtection password="E40A" sheet="1" objects="1" scenarios="1"/>
  <printOptions horizontalCentered="1"/>
  <pageMargins left="0.7" right="0.7" top="0.75" bottom="0.75" header="0.3" footer="0.3"/>
  <pageSetup scale="63" orientation="portrait" r:id="rId1"/>
  <headerFooter>
    <oddFooter>&amp;LAECOM Technical Services, Inc.
Pocasset, MA&amp;RPage &amp;P of &amp;N
Revised: March 18, 2016</oddFooter>
  </headerFooter>
  <ignoredErrors>
    <ignoredError sqref="C1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sheetPr>
  <dimension ref="B1:S140"/>
  <sheetViews>
    <sheetView zoomScaleNormal="100" workbookViewId="0"/>
  </sheetViews>
  <sheetFormatPr defaultRowHeight="14.2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3" width="9.140625" style="60"/>
    <col min="14" max="14" width="40.7109375" style="39" customWidth="1"/>
    <col min="15" max="15" width="12.7109375" style="39" customWidth="1"/>
    <col min="16" max="16" width="12.7109375" style="40" customWidth="1"/>
    <col min="17" max="17" width="9.140625" style="60"/>
    <col min="18" max="18" width="12.28515625" style="60" customWidth="1"/>
    <col min="19" max="19" width="11.140625" style="60" bestFit="1" customWidth="1"/>
    <col min="20" max="16384" width="9.140625" style="60"/>
  </cols>
  <sheetData>
    <row r="1" spans="2:19" x14ac:dyDescent="0.2">
      <c r="N1" s="703"/>
      <c r="O1" s="703"/>
      <c r="P1" s="703"/>
    </row>
    <row r="2" spans="2:19" ht="12.75" x14ac:dyDescent="0.2">
      <c r="B2" s="75" t="s">
        <v>7</v>
      </c>
      <c r="C2" s="75"/>
      <c r="D2" s="75"/>
      <c r="E2" s="75"/>
      <c r="F2" s="75"/>
      <c r="G2" s="74"/>
      <c r="N2" s="75" t="s">
        <v>7</v>
      </c>
      <c r="O2" s="75"/>
      <c r="P2" s="75"/>
    </row>
    <row r="3" spans="2:19" ht="12.75" x14ac:dyDescent="0.2">
      <c r="B3" s="75" t="s">
        <v>8</v>
      </c>
      <c r="C3" s="75"/>
      <c r="D3" s="75"/>
      <c r="E3" s="75"/>
      <c r="F3" s="75"/>
      <c r="G3" s="74"/>
      <c r="N3" s="75" t="s">
        <v>8</v>
      </c>
      <c r="O3" s="75"/>
      <c r="P3" s="75"/>
    </row>
    <row r="4" spans="2:19" ht="12.75" x14ac:dyDescent="0.2">
      <c r="B4" s="75" t="str">
        <f>Assumptions!B8</f>
        <v>Estimated Capital Costs</v>
      </c>
      <c r="C4" s="75"/>
      <c r="D4" s="75"/>
      <c r="E4" s="75"/>
      <c r="F4" s="75"/>
      <c r="G4" s="74"/>
      <c r="N4" s="75" t="s">
        <v>85</v>
      </c>
      <c r="O4" s="75"/>
      <c r="P4" s="75"/>
    </row>
    <row r="5" spans="2:19" ht="12.75" x14ac:dyDescent="0.2">
      <c r="B5" s="100" t="s">
        <v>42</v>
      </c>
      <c r="C5" s="83"/>
      <c r="D5" s="83"/>
      <c r="E5" s="83"/>
      <c r="F5" s="83"/>
      <c r="G5" s="84"/>
      <c r="N5" s="100" t="s">
        <v>99</v>
      </c>
      <c r="O5" s="100"/>
      <c r="P5" s="100"/>
    </row>
    <row r="6" spans="2:19" ht="15" thickBot="1" x14ac:dyDescent="0.25">
      <c r="N6" s="703"/>
      <c r="O6" s="703"/>
      <c r="P6" s="703"/>
    </row>
    <row r="7" spans="2:19" ht="15" thickBot="1" x14ac:dyDescent="0.25">
      <c r="B7" s="61" t="s">
        <v>4</v>
      </c>
      <c r="C7" s="62" t="s">
        <v>5</v>
      </c>
      <c r="D7" s="62" t="s">
        <v>1</v>
      </c>
      <c r="E7" s="62" t="s">
        <v>0</v>
      </c>
      <c r="F7" s="78" t="s">
        <v>10</v>
      </c>
      <c r="G7" s="79" t="s">
        <v>9</v>
      </c>
      <c r="N7" s="114" t="s">
        <v>25</v>
      </c>
      <c r="O7" s="114" t="s">
        <v>1</v>
      </c>
      <c r="P7" s="114" t="s">
        <v>0</v>
      </c>
      <c r="S7" s="60">
        <v>0.78</v>
      </c>
    </row>
    <row r="8" spans="2:19" x14ac:dyDescent="0.2">
      <c r="B8" s="72"/>
      <c r="C8" s="63"/>
      <c r="D8" s="63"/>
      <c r="E8" s="68"/>
      <c r="F8" s="68"/>
      <c r="G8" s="76"/>
      <c r="N8" s="47"/>
      <c r="O8" s="43"/>
      <c r="P8" s="43"/>
    </row>
    <row r="9" spans="2:19" x14ac:dyDescent="0.2">
      <c r="B9" s="81" t="s">
        <v>12</v>
      </c>
      <c r="C9" s="65">
        <v>1</v>
      </c>
      <c r="D9" s="82" t="s">
        <v>2</v>
      </c>
      <c r="E9" s="64">
        <f>(SUM($F$10:$F$23))*Assumptions!$C$9</f>
        <v>485810</v>
      </c>
      <c r="F9" s="64">
        <f>+MROUND(C9*E9,100)</f>
        <v>485800</v>
      </c>
      <c r="G9" s="77" t="str">
        <f>CONCATENATE(Assumptions!C9*100,"%"," ","of Other Items")</f>
        <v>5% of Other Items</v>
      </c>
      <c r="N9" s="46" t="str">
        <f>'Collection - Downtown'!N9</f>
        <v>Custom Pump Station</v>
      </c>
      <c r="O9" s="46" t="str">
        <f>'Collection - Downtown'!O9</f>
        <v>Each</v>
      </c>
      <c r="P9" s="64">
        <v>585000</v>
      </c>
      <c r="R9" s="64">
        <f>'Collection - Downtown'!R9</f>
        <v>750000</v>
      </c>
      <c r="S9" s="147">
        <f>R9*$S$7</f>
        <v>585000</v>
      </c>
    </row>
    <row r="10" spans="2:19" x14ac:dyDescent="0.2">
      <c r="B10" s="50" t="s">
        <v>76</v>
      </c>
      <c r="C10" s="51">
        <v>15750</v>
      </c>
      <c r="D10" s="52" t="str">
        <f>IF($B10=$N$8," ",(VLOOKUP($B10,$N$9:$P$23,2)))</f>
        <v>L.F.</v>
      </c>
      <c r="E10" s="53">
        <f>IF($B10=$N$8,0,(VLOOKUP($B10,$N$9:$P$23,3)))</f>
        <v>125</v>
      </c>
      <c r="F10" s="53">
        <f t="shared" ref="F10:F22" si="0">+MROUND(C10*E10,100)</f>
        <v>1968800</v>
      </c>
      <c r="G10" s="99" t="s">
        <v>11</v>
      </c>
      <c r="N10" s="46" t="str">
        <f>'Collection - Downtown'!N10</f>
        <v>Force Main</v>
      </c>
      <c r="O10" s="46" t="str">
        <f>'Collection - Downtown'!O10</f>
        <v>L.F.</v>
      </c>
      <c r="P10" s="64">
        <v>120</v>
      </c>
      <c r="R10" s="64">
        <f>'Collection - Downtown'!R10</f>
        <v>150</v>
      </c>
      <c r="S10" s="147">
        <f t="shared" ref="S10:S23" si="1">R10*$S$7</f>
        <v>117</v>
      </c>
    </row>
    <row r="11" spans="2:19" x14ac:dyDescent="0.2">
      <c r="B11" s="50" t="s">
        <v>78</v>
      </c>
      <c r="C11" s="51">
        <v>20750</v>
      </c>
      <c r="D11" s="52" t="str">
        <f t="shared" ref="D11:D23" si="2">IF($B11=$N$8," ",(VLOOKUP($B11,$N$9:$P$23,2)))</f>
        <v>L.F.</v>
      </c>
      <c r="E11" s="53">
        <f t="shared" ref="E11:E23" si="3">IF($B11=$N$8,0,(VLOOKUP($B11,$N$9:$P$23,3)))</f>
        <v>100</v>
      </c>
      <c r="F11" s="54">
        <f t="shared" si="0"/>
        <v>2075000</v>
      </c>
      <c r="G11" s="99" t="s">
        <v>11</v>
      </c>
      <c r="N11" s="46" t="str">
        <f>'Collection - Downtown'!N11</f>
        <v>Gravity Sewer</v>
      </c>
      <c r="O11" s="46" t="str">
        <f>'Collection - Downtown'!O11</f>
        <v>L.F.</v>
      </c>
      <c r="P11" s="64">
        <v>125</v>
      </c>
      <c r="R11" s="64">
        <f>'Collection - Downtown'!R11</f>
        <v>160</v>
      </c>
      <c r="S11" s="147">
        <f t="shared" si="1"/>
        <v>124.80000000000001</v>
      </c>
    </row>
    <row r="12" spans="2:19" x14ac:dyDescent="0.2">
      <c r="B12" s="50" t="s">
        <v>82</v>
      </c>
      <c r="C12" s="51">
        <v>1</v>
      </c>
      <c r="D12" s="52" t="str">
        <f t="shared" si="2"/>
        <v>Each</v>
      </c>
      <c r="E12" s="53">
        <f t="shared" si="3"/>
        <v>585000</v>
      </c>
      <c r="F12" s="54">
        <f t="shared" si="0"/>
        <v>585000</v>
      </c>
      <c r="G12" s="99" t="s">
        <v>11</v>
      </c>
      <c r="N12" s="46" t="str">
        <f>'Collection - Downtown'!N12</f>
        <v>Gravity Sewer - Private Property</v>
      </c>
      <c r="O12" s="46" t="str">
        <f>'Collection - Downtown'!O12</f>
        <v>Each</v>
      </c>
      <c r="P12" s="64">
        <v>7800</v>
      </c>
      <c r="R12" s="64">
        <f>'Collection - Downtown'!R12</f>
        <v>10000</v>
      </c>
      <c r="S12" s="147">
        <f t="shared" si="1"/>
        <v>7800</v>
      </c>
    </row>
    <row r="13" spans="2:19" x14ac:dyDescent="0.2">
      <c r="B13" s="50" t="s">
        <v>77</v>
      </c>
      <c r="C13" s="51">
        <v>11250</v>
      </c>
      <c r="D13" s="52" t="str">
        <f t="shared" si="2"/>
        <v>L.F.</v>
      </c>
      <c r="E13" s="53">
        <f t="shared" si="3"/>
        <v>120</v>
      </c>
      <c r="F13" s="54">
        <f t="shared" si="0"/>
        <v>1350000</v>
      </c>
      <c r="G13" s="99" t="s">
        <v>11</v>
      </c>
      <c r="N13" s="46" t="str">
        <f>'Collection - Downtown'!N13</f>
        <v>Low Pressure Sewer</v>
      </c>
      <c r="O13" s="46" t="str">
        <f>'Collection - Downtown'!O13</f>
        <v>L.F.</v>
      </c>
      <c r="P13" s="64">
        <v>100</v>
      </c>
      <c r="R13" s="64">
        <f>'Collection - Downtown'!R13</f>
        <v>125</v>
      </c>
      <c r="S13" s="147">
        <f t="shared" si="1"/>
        <v>97.5</v>
      </c>
    </row>
    <row r="14" spans="2:19" x14ac:dyDescent="0.2">
      <c r="B14" s="50" t="s">
        <v>94</v>
      </c>
      <c r="C14" s="51">
        <v>173</v>
      </c>
      <c r="D14" s="52" t="str">
        <f t="shared" si="2"/>
        <v>Each</v>
      </c>
      <c r="E14" s="53">
        <f t="shared" si="3"/>
        <v>7800</v>
      </c>
      <c r="F14" s="54">
        <f t="shared" si="0"/>
        <v>1349400</v>
      </c>
      <c r="G14" s="99" t="s">
        <v>11</v>
      </c>
      <c r="N14" s="46" t="str">
        <f>'Collection - Downtown'!N14</f>
        <v>Low Pressure Sewer - Private Property</v>
      </c>
      <c r="O14" s="46" t="str">
        <f>'Collection - Downtown'!O14</f>
        <v>Each</v>
      </c>
      <c r="P14" s="64">
        <v>12000</v>
      </c>
      <c r="R14" s="64">
        <f>'Collection - Downtown'!R14</f>
        <v>15000</v>
      </c>
      <c r="S14" s="147">
        <f t="shared" si="1"/>
        <v>11700</v>
      </c>
    </row>
    <row r="15" spans="2:19" x14ac:dyDescent="0.2">
      <c r="B15" s="50" t="s">
        <v>95</v>
      </c>
      <c r="C15" s="51">
        <v>199</v>
      </c>
      <c r="D15" s="52" t="str">
        <f t="shared" si="2"/>
        <v>Each</v>
      </c>
      <c r="E15" s="53">
        <f t="shared" si="3"/>
        <v>12000</v>
      </c>
      <c r="F15" s="54">
        <f t="shared" si="0"/>
        <v>2388000</v>
      </c>
      <c r="G15" s="99" t="s">
        <v>11</v>
      </c>
      <c r="N15" s="46" t="str">
        <f>'Collection - Downtown'!N15</f>
        <v>STEG - Private Property</v>
      </c>
      <c r="O15" s="46" t="str">
        <f>'Collection - Downtown'!O15</f>
        <v>Each</v>
      </c>
      <c r="P15" s="64">
        <v>8000</v>
      </c>
      <c r="R15" s="64">
        <f>'Collection - Downtown'!R15</f>
        <v>10000</v>
      </c>
      <c r="S15" s="147">
        <f t="shared" si="1"/>
        <v>7800</v>
      </c>
    </row>
    <row r="16" spans="2:19" x14ac:dyDescent="0.2">
      <c r="B16" s="50"/>
      <c r="C16" s="51">
        <v>0</v>
      </c>
      <c r="D16" s="52" t="str">
        <f t="shared" si="2"/>
        <v xml:space="preserve"> </v>
      </c>
      <c r="E16" s="118">
        <f t="shared" si="3"/>
        <v>0</v>
      </c>
      <c r="F16" s="54">
        <f t="shared" si="0"/>
        <v>0</v>
      </c>
      <c r="G16" s="99" t="s">
        <v>11</v>
      </c>
      <c r="N16" s="46" t="str">
        <f>'Collection - Downtown'!N16</f>
        <v>STEG Sewer</v>
      </c>
      <c r="O16" s="46" t="str">
        <f>'Collection - Downtown'!O16</f>
        <v>L.F.</v>
      </c>
      <c r="P16" s="64">
        <v>160</v>
      </c>
      <c r="R16" s="64">
        <f>'Collection - Downtown'!R16</f>
        <v>160</v>
      </c>
      <c r="S16" s="147">
        <f t="shared" si="1"/>
        <v>124.80000000000001</v>
      </c>
    </row>
    <row r="17" spans="2:19" x14ac:dyDescent="0.2">
      <c r="B17" s="50"/>
      <c r="C17" s="51">
        <v>0</v>
      </c>
      <c r="D17" s="52" t="str">
        <f t="shared" si="2"/>
        <v xml:space="preserve"> </v>
      </c>
      <c r="E17" s="53">
        <f t="shared" si="3"/>
        <v>0</v>
      </c>
      <c r="F17" s="54">
        <f t="shared" si="0"/>
        <v>0</v>
      </c>
      <c r="G17" s="99" t="s">
        <v>11</v>
      </c>
      <c r="N17" s="46" t="str">
        <f>'Collection - Downtown'!N17</f>
        <v>STEP - Private Property</v>
      </c>
      <c r="O17" s="46" t="str">
        <f>'Collection - Downtown'!O17</f>
        <v>Each</v>
      </c>
      <c r="P17" s="64">
        <v>11000</v>
      </c>
      <c r="R17" s="64">
        <f>'Collection - Downtown'!R17</f>
        <v>13625</v>
      </c>
      <c r="S17" s="147">
        <f t="shared" si="1"/>
        <v>10627.5</v>
      </c>
    </row>
    <row r="18" spans="2:19" x14ac:dyDescent="0.2">
      <c r="B18" s="50"/>
      <c r="C18" s="51">
        <v>0</v>
      </c>
      <c r="D18" s="52" t="str">
        <f t="shared" si="2"/>
        <v xml:space="preserve"> </v>
      </c>
      <c r="E18" s="53">
        <f t="shared" si="3"/>
        <v>0</v>
      </c>
      <c r="F18" s="54">
        <f t="shared" si="0"/>
        <v>0</v>
      </c>
      <c r="G18" s="99" t="s">
        <v>11</v>
      </c>
      <c r="N18" s="46" t="str">
        <f>'Collection - Downtown'!N18</f>
        <v>STEP Force Main</v>
      </c>
      <c r="O18" s="46" t="str">
        <f>'Collection - Downtown'!O18</f>
        <v>L.F.</v>
      </c>
      <c r="P18" s="64">
        <v>100</v>
      </c>
      <c r="R18" s="64">
        <f>'Collection - Downtown'!R18</f>
        <v>125</v>
      </c>
      <c r="S18" s="147">
        <f t="shared" si="1"/>
        <v>97.5</v>
      </c>
    </row>
    <row r="19" spans="2:19" x14ac:dyDescent="0.2">
      <c r="B19" s="50"/>
      <c r="C19" s="51">
        <v>0</v>
      </c>
      <c r="D19" s="52" t="str">
        <f t="shared" si="2"/>
        <v xml:space="preserve"> </v>
      </c>
      <c r="E19" s="53">
        <f t="shared" si="3"/>
        <v>0</v>
      </c>
      <c r="F19" s="54">
        <f t="shared" si="0"/>
        <v>0</v>
      </c>
      <c r="G19" s="99" t="s">
        <v>11</v>
      </c>
      <c r="N19" s="46" t="str">
        <f>'Collection - Downtown'!N19</f>
        <v>Submersible Pump Station</v>
      </c>
      <c r="O19" s="46" t="str">
        <f>'Collection - Downtown'!O19</f>
        <v>Each</v>
      </c>
      <c r="P19" s="64">
        <v>275000</v>
      </c>
      <c r="R19" s="64">
        <f>'Collection - Downtown'!R19</f>
        <v>350000</v>
      </c>
      <c r="S19" s="147">
        <f t="shared" si="1"/>
        <v>273000</v>
      </c>
    </row>
    <row r="20" spans="2:19" x14ac:dyDescent="0.2">
      <c r="B20" s="50"/>
      <c r="C20" s="51">
        <v>0</v>
      </c>
      <c r="D20" s="52" t="str">
        <f t="shared" si="2"/>
        <v xml:space="preserve"> </v>
      </c>
      <c r="E20" s="53">
        <f t="shared" si="3"/>
        <v>0</v>
      </c>
      <c r="F20" s="54">
        <f t="shared" si="0"/>
        <v>0</v>
      </c>
      <c r="G20" s="99" t="s">
        <v>11</v>
      </c>
      <c r="N20" s="46" t="str">
        <f>'Collection - Downtown'!N20</f>
        <v>Vacuum Pump Station</v>
      </c>
      <c r="O20" s="46" t="str">
        <f>'Collection - Downtown'!O20</f>
        <v>Each</v>
      </c>
      <c r="P20" s="64">
        <v>780000</v>
      </c>
      <c r="R20" s="64">
        <f>'Collection - Downtown'!R20</f>
        <v>1100000</v>
      </c>
      <c r="S20" s="147">
        <f t="shared" si="1"/>
        <v>858000</v>
      </c>
    </row>
    <row r="21" spans="2:19" x14ac:dyDescent="0.2">
      <c r="B21" s="50"/>
      <c r="C21" s="51">
        <v>0</v>
      </c>
      <c r="D21" s="52" t="str">
        <f t="shared" si="2"/>
        <v xml:space="preserve"> </v>
      </c>
      <c r="E21" s="53">
        <f t="shared" si="3"/>
        <v>0</v>
      </c>
      <c r="F21" s="54">
        <f t="shared" si="0"/>
        <v>0</v>
      </c>
      <c r="G21" s="99" t="s">
        <v>11</v>
      </c>
      <c r="N21" s="46" t="str">
        <f>'Collection - Downtown'!N21</f>
        <v>Vacuum Sewer</v>
      </c>
      <c r="O21" s="46" t="str">
        <f>'Collection - Downtown'!O21</f>
        <v>L.F.</v>
      </c>
      <c r="P21" s="64">
        <v>100</v>
      </c>
      <c r="R21" s="64">
        <f>'Collection - Downtown'!R21</f>
        <v>140</v>
      </c>
      <c r="S21" s="147">
        <f t="shared" si="1"/>
        <v>109.2</v>
      </c>
    </row>
    <row r="22" spans="2:19" x14ac:dyDescent="0.2">
      <c r="B22" s="50"/>
      <c r="C22" s="51">
        <v>0</v>
      </c>
      <c r="D22" s="52" t="str">
        <f t="shared" si="2"/>
        <v xml:space="preserve"> </v>
      </c>
      <c r="E22" s="53">
        <f t="shared" si="3"/>
        <v>0</v>
      </c>
      <c r="F22" s="54">
        <f t="shared" si="0"/>
        <v>0</v>
      </c>
      <c r="G22" s="99" t="s">
        <v>11</v>
      </c>
      <c r="N22" s="46" t="str">
        <f>'Collection - Downtown'!N22</f>
        <v>Vacuum Sewer - Private Property</v>
      </c>
      <c r="O22" s="46" t="str">
        <f>'Collection - Downtown'!O22</f>
        <v>Each</v>
      </c>
      <c r="P22" s="64">
        <v>10500</v>
      </c>
      <c r="R22" s="64">
        <f>'Collection - Downtown'!R22</f>
        <v>13125</v>
      </c>
      <c r="S22" s="147">
        <f t="shared" si="1"/>
        <v>10237.5</v>
      </c>
    </row>
    <row r="23" spans="2:19" x14ac:dyDescent="0.2">
      <c r="B23" s="50"/>
      <c r="C23" s="51">
        <v>0</v>
      </c>
      <c r="D23" s="52" t="str">
        <f t="shared" si="2"/>
        <v xml:space="preserve"> </v>
      </c>
      <c r="E23" s="53">
        <f t="shared" si="3"/>
        <v>0</v>
      </c>
      <c r="F23" s="54">
        <f t="shared" ref="F23" si="4">+MROUND(C23*E23,1000)</f>
        <v>0</v>
      </c>
      <c r="G23" s="99" t="s">
        <v>11</v>
      </c>
      <c r="N23" s="46" t="str">
        <f>'Collection - Downtown'!N23</f>
        <v>Wet Pit /Dry Pit Pump Station</v>
      </c>
      <c r="O23" s="46" t="str">
        <f>'Collection - Downtown'!O23</f>
        <v>Each</v>
      </c>
      <c r="P23" s="64">
        <v>475000</v>
      </c>
      <c r="R23" s="64">
        <f>'Collection - Downtown'!R23</f>
        <v>600000</v>
      </c>
      <c r="S23" s="147">
        <f t="shared" si="1"/>
        <v>468000</v>
      </c>
    </row>
    <row r="24" spans="2:19" ht="12.75" x14ac:dyDescent="0.2">
      <c r="B24" s="72"/>
      <c r="C24" s="63"/>
      <c r="D24" s="90" t="s">
        <v>3</v>
      </c>
      <c r="E24" s="68"/>
      <c r="F24" s="93">
        <f>+SUM(F9:F23)</f>
        <v>10202000</v>
      </c>
      <c r="G24" s="98"/>
      <c r="N24" s="123"/>
      <c r="O24" s="123"/>
      <c r="P24" s="123"/>
    </row>
    <row r="25" spans="2:19" x14ac:dyDescent="0.2">
      <c r="B25" s="72"/>
      <c r="D25" s="91" t="str">
        <f>Assumptions!B10</f>
        <v>Overhead and Profit</v>
      </c>
      <c r="E25" s="95">
        <f>Assumptions!C10</f>
        <v>0.22</v>
      </c>
      <c r="F25" s="67">
        <f>+MROUND(F24*E25,100)</f>
        <v>2244400</v>
      </c>
      <c r="G25" s="77"/>
    </row>
    <row r="26" spans="2:19" x14ac:dyDescent="0.2">
      <c r="B26" s="72"/>
      <c r="D26" s="91" t="s">
        <v>3</v>
      </c>
      <c r="E26" s="66"/>
      <c r="F26" s="92">
        <f>F25+F24</f>
        <v>12446400</v>
      </c>
      <c r="G26" s="77"/>
    </row>
    <row r="27" spans="2:19" x14ac:dyDescent="0.2">
      <c r="B27" s="72"/>
      <c r="D27" s="91" t="str">
        <f>Assumptions!B11</f>
        <v>Contingency</v>
      </c>
      <c r="E27" s="96">
        <f>Assumptions!C11</f>
        <v>0.25</v>
      </c>
      <c r="F27" s="64">
        <f>+MROUND((F26)*E27,100)</f>
        <v>3111600</v>
      </c>
      <c r="G27" s="77"/>
      <c r="N27" s="41"/>
      <c r="O27" s="41"/>
      <c r="P27" s="41"/>
    </row>
    <row r="28" spans="2:19" x14ac:dyDescent="0.2">
      <c r="B28" s="72"/>
      <c r="D28" s="91" t="s">
        <v>36</v>
      </c>
      <c r="E28" s="96"/>
      <c r="F28" s="93">
        <f>SUM(F26:F27)</f>
        <v>15558000</v>
      </c>
      <c r="G28" s="77"/>
      <c r="N28" s="41"/>
      <c r="O28" s="41"/>
      <c r="P28" s="41"/>
    </row>
    <row r="29" spans="2:19" x14ac:dyDescent="0.2">
      <c r="B29" s="72"/>
      <c r="D29" s="91" t="str">
        <f>Assumptions!B12</f>
        <v>Town Administration and Engineering</v>
      </c>
      <c r="E29" s="96"/>
      <c r="F29" s="64"/>
      <c r="G29" s="77"/>
      <c r="N29" s="41"/>
      <c r="O29" s="41"/>
      <c r="P29" s="41"/>
    </row>
    <row r="30" spans="2:19" x14ac:dyDescent="0.2">
      <c r="B30" s="72"/>
      <c r="D30" s="91" t="str">
        <f>Assumptions!B13</f>
        <v>Town Administration</v>
      </c>
      <c r="E30" s="96">
        <f>Assumptions!C13</f>
        <v>0.05</v>
      </c>
      <c r="F30" s="64">
        <f>+MROUND($F$28*E30,100)+200000</f>
        <v>977900</v>
      </c>
      <c r="G30" s="77" t="s">
        <v>266</v>
      </c>
      <c r="N30" s="41"/>
      <c r="O30" s="41"/>
      <c r="P30" s="41"/>
    </row>
    <row r="31" spans="2:19" x14ac:dyDescent="0.2">
      <c r="B31" s="72"/>
      <c r="D31" s="91" t="str">
        <f>Assumptions!B14</f>
        <v>Engineering - Planning/Consultation</v>
      </c>
      <c r="E31" s="96">
        <f>Assumptions!C14</f>
        <v>0.05</v>
      </c>
      <c r="F31" s="64">
        <f t="shared" ref="F31:F33" si="5">+MROUND($F$28*E31,100)</f>
        <v>777900</v>
      </c>
      <c r="G31" s="77"/>
      <c r="N31" s="41"/>
      <c r="O31" s="41"/>
      <c r="P31" s="41"/>
    </row>
    <row r="32" spans="2:19" x14ac:dyDescent="0.2">
      <c r="B32" s="72"/>
      <c r="D32" s="91" t="str">
        <f>Assumptions!B15</f>
        <v>Engineering - Design</v>
      </c>
      <c r="E32" s="96">
        <f>Assumptions!C15</f>
        <v>0.1</v>
      </c>
      <c r="F32" s="64">
        <f t="shared" si="5"/>
        <v>1555800</v>
      </c>
      <c r="G32" s="77"/>
      <c r="N32" s="41"/>
      <c r="O32" s="41"/>
      <c r="P32" s="41"/>
    </row>
    <row r="33" spans="2:16" x14ac:dyDescent="0.2">
      <c r="B33" s="72"/>
      <c r="D33" s="91" t="str">
        <f>Assumptions!B16</f>
        <v>Engineering - Construction</v>
      </c>
      <c r="E33" s="96">
        <f>Assumptions!C16</f>
        <v>0.15</v>
      </c>
      <c r="F33" s="64">
        <f t="shared" si="5"/>
        <v>2333700</v>
      </c>
      <c r="G33" s="77"/>
      <c r="N33" s="41"/>
      <c r="O33" s="41"/>
      <c r="P33" s="41"/>
    </row>
    <row r="34" spans="2:16" x14ac:dyDescent="0.2">
      <c r="B34" s="32"/>
      <c r="C34" s="63"/>
      <c r="D34" s="94" t="s">
        <v>19</v>
      </c>
      <c r="E34" s="68"/>
      <c r="F34" s="124">
        <f>SUM(F28:F33)</f>
        <v>21203300</v>
      </c>
      <c r="G34" s="98" t="str">
        <f>CONCATENATE(Assumptions!B57," ","="," ",Assumptions!C57," ","(",Assumptions!E57,")")</f>
        <v>Engineering News Record (ENR) = 10182 (Feb. 2016)</v>
      </c>
      <c r="N34" s="41"/>
      <c r="O34" s="41"/>
      <c r="P34" s="41"/>
    </row>
    <row r="35" spans="2:16" ht="15" thickBot="1" x14ac:dyDescent="0.25">
      <c r="B35" s="73"/>
      <c r="C35" s="70"/>
      <c r="D35" s="70"/>
      <c r="E35" s="71"/>
      <c r="F35" s="71"/>
      <c r="G35" s="80"/>
      <c r="N35" s="41"/>
      <c r="O35" s="41"/>
      <c r="P35" s="41"/>
    </row>
    <row r="36" spans="2:16" x14ac:dyDescent="0.2">
      <c r="B36" s="63"/>
      <c r="C36" s="63"/>
      <c r="D36" s="63"/>
      <c r="E36" s="68"/>
      <c r="F36" s="68"/>
      <c r="G36" s="69"/>
      <c r="N36" s="41"/>
      <c r="O36" s="41"/>
      <c r="P36" s="41"/>
    </row>
    <row r="37" spans="2:16" s="63" customFormat="1" x14ac:dyDescent="0.2">
      <c r="B37" s="60"/>
      <c r="C37" s="60"/>
      <c r="D37" s="60"/>
      <c r="E37" s="60"/>
      <c r="F37" s="60"/>
      <c r="G37" s="60"/>
      <c r="N37" s="41"/>
      <c r="O37" s="41"/>
      <c r="P37" s="41"/>
    </row>
    <row r="38" spans="2:16" x14ac:dyDescent="0.2">
      <c r="B38" s="75" t="s">
        <v>7</v>
      </c>
      <c r="C38" s="75"/>
      <c r="D38" s="75"/>
      <c r="E38" s="75"/>
      <c r="F38" s="75"/>
      <c r="G38" s="74"/>
      <c r="N38" s="41"/>
      <c r="O38" s="41"/>
      <c r="P38" s="41"/>
    </row>
    <row r="39" spans="2:16" x14ac:dyDescent="0.2">
      <c r="B39" s="75" t="s">
        <v>8</v>
      </c>
      <c r="C39" s="75"/>
      <c r="D39" s="75"/>
      <c r="E39" s="75"/>
      <c r="F39" s="75"/>
      <c r="G39" s="74"/>
      <c r="N39" s="44"/>
      <c r="P39" s="45"/>
    </row>
    <row r="40" spans="2:16" x14ac:dyDescent="0.2">
      <c r="B40" s="83" t="str">
        <f>Assumptions!B20</f>
        <v>Estimated Annual Operation and Maintenance Costs</v>
      </c>
      <c r="C40" s="83"/>
      <c r="D40" s="83"/>
      <c r="E40" s="83"/>
      <c r="F40" s="83"/>
      <c r="G40" s="84"/>
      <c r="N40" s="44"/>
      <c r="P40" s="45"/>
    </row>
    <row r="41" spans="2:16" x14ac:dyDescent="0.2">
      <c r="B41" s="83" t="str">
        <f>B5</f>
        <v>Collection System - Meetinghouse Pond</v>
      </c>
      <c r="C41" s="83"/>
      <c r="D41" s="83"/>
      <c r="E41" s="83"/>
      <c r="F41" s="83"/>
      <c r="G41" s="84"/>
      <c r="N41" s="44"/>
      <c r="P41" s="45"/>
    </row>
    <row r="42" spans="2:16" ht="15" thickBot="1" x14ac:dyDescent="0.25">
      <c r="B42" s="85"/>
      <c r="C42" s="85"/>
      <c r="D42" s="85"/>
      <c r="E42" s="85"/>
      <c r="F42" s="85"/>
      <c r="G42" s="85"/>
      <c r="N42" s="44"/>
      <c r="P42" s="45"/>
    </row>
    <row r="43" spans="2:16" ht="15" thickBot="1" x14ac:dyDescent="0.25">
      <c r="B43" s="86" t="s">
        <v>4</v>
      </c>
      <c r="C43" s="87" t="s">
        <v>5</v>
      </c>
      <c r="D43" s="87" t="s">
        <v>1</v>
      </c>
      <c r="E43" s="87" t="s">
        <v>0</v>
      </c>
      <c r="F43" s="88" t="s">
        <v>10</v>
      </c>
      <c r="G43" s="89" t="s">
        <v>9</v>
      </c>
      <c r="N43" s="44"/>
      <c r="P43" s="45"/>
    </row>
    <row r="44" spans="2:16" x14ac:dyDescent="0.2">
      <c r="B44" s="72"/>
      <c r="C44" s="63"/>
      <c r="D44" s="63"/>
      <c r="E44" s="68"/>
      <c r="F44" s="68"/>
      <c r="G44" s="76"/>
      <c r="N44" s="44"/>
      <c r="P44" s="45"/>
    </row>
    <row r="45" spans="2:16" x14ac:dyDescent="0.2">
      <c r="B45" s="50" t="s">
        <v>161</v>
      </c>
      <c r="C45" s="51">
        <v>1040</v>
      </c>
      <c r="D45" s="55" t="s">
        <v>47</v>
      </c>
      <c r="E45" s="56">
        <v>65</v>
      </c>
      <c r="F45" s="54">
        <f>+MROUND(C45*E45,100)</f>
        <v>67600</v>
      </c>
      <c r="G45" s="99" t="s">
        <v>456</v>
      </c>
      <c r="N45" s="44"/>
      <c r="P45" s="45"/>
    </row>
    <row r="46" spans="2:16" x14ac:dyDescent="0.2">
      <c r="B46" s="50" t="s">
        <v>162</v>
      </c>
      <c r="C46" s="51">
        <v>1</v>
      </c>
      <c r="D46" s="55" t="s">
        <v>171</v>
      </c>
      <c r="E46" s="56">
        <v>40000</v>
      </c>
      <c r="F46" s="54">
        <f t="shared" ref="F46:F48" si="6">+MROUND(C46*E46,100)</f>
        <v>40000</v>
      </c>
      <c r="G46" s="99" t="s">
        <v>172</v>
      </c>
      <c r="N46" s="44"/>
      <c r="P46" s="45"/>
    </row>
    <row r="47" spans="2:16" x14ac:dyDescent="0.2">
      <c r="B47" s="50" t="s">
        <v>169</v>
      </c>
      <c r="C47" s="51">
        <f>C10/4</f>
        <v>3937.5</v>
      </c>
      <c r="D47" s="55" t="s">
        <v>21</v>
      </c>
      <c r="E47" s="56">
        <v>5</v>
      </c>
      <c r="F47" s="54">
        <f t="shared" si="6"/>
        <v>19700</v>
      </c>
      <c r="G47" s="99" t="s">
        <v>170</v>
      </c>
      <c r="N47" s="44"/>
      <c r="P47" s="45"/>
    </row>
    <row r="48" spans="2:16" x14ac:dyDescent="0.2">
      <c r="B48" s="50" t="s">
        <v>84</v>
      </c>
      <c r="C48" s="51">
        <f>C15</f>
        <v>199</v>
      </c>
      <c r="D48" s="55" t="s">
        <v>56</v>
      </c>
      <c r="E48" s="56">
        <v>100</v>
      </c>
      <c r="F48" s="54">
        <f t="shared" si="6"/>
        <v>19900</v>
      </c>
      <c r="G48" s="99" t="s">
        <v>178</v>
      </c>
      <c r="N48" s="44"/>
      <c r="P48" s="45"/>
    </row>
    <row r="49" spans="2:16" x14ac:dyDescent="0.2">
      <c r="B49" s="50" t="s">
        <v>11</v>
      </c>
      <c r="C49" s="51">
        <v>0</v>
      </c>
      <c r="D49" s="55"/>
      <c r="E49" s="56">
        <v>0</v>
      </c>
      <c r="F49" s="54">
        <f t="shared" ref="F49:F54" si="7">+MROUND(C49*E49,100)</f>
        <v>0</v>
      </c>
      <c r="G49" s="99" t="s">
        <v>11</v>
      </c>
      <c r="N49" s="44"/>
      <c r="P49" s="45"/>
    </row>
    <row r="50" spans="2:16" x14ac:dyDescent="0.2">
      <c r="B50" s="50" t="s">
        <v>11</v>
      </c>
      <c r="C50" s="51">
        <v>0</v>
      </c>
      <c r="D50" s="55"/>
      <c r="E50" s="56">
        <v>0</v>
      </c>
      <c r="F50" s="54">
        <f t="shared" si="7"/>
        <v>0</v>
      </c>
      <c r="G50" s="99" t="s">
        <v>11</v>
      </c>
      <c r="N50" s="44"/>
      <c r="P50" s="45"/>
    </row>
    <row r="51" spans="2:16" x14ac:dyDescent="0.2">
      <c r="B51" s="50" t="s">
        <v>11</v>
      </c>
      <c r="C51" s="51">
        <v>0</v>
      </c>
      <c r="D51" s="55"/>
      <c r="E51" s="56">
        <v>0</v>
      </c>
      <c r="F51" s="54">
        <f t="shared" si="7"/>
        <v>0</v>
      </c>
      <c r="G51" s="99" t="s">
        <v>11</v>
      </c>
      <c r="N51" s="44"/>
      <c r="P51" s="45"/>
    </row>
    <row r="52" spans="2:16" x14ac:dyDescent="0.2">
      <c r="B52" s="50" t="s">
        <v>11</v>
      </c>
      <c r="C52" s="51">
        <v>0</v>
      </c>
      <c r="D52" s="55"/>
      <c r="E52" s="56">
        <v>0</v>
      </c>
      <c r="F52" s="54">
        <f t="shared" si="7"/>
        <v>0</v>
      </c>
      <c r="G52" s="99" t="s">
        <v>11</v>
      </c>
      <c r="N52" s="44"/>
      <c r="P52" s="45"/>
    </row>
    <row r="53" spans="2:16" x14ac:dyDescent="0.2">
      <c r="B53" s="50" t="s">
        <v>11</v>
      </c>
      <c r="C53" s="51">
        <v>0</v>
      </c>
      <c r="D53" s="55"/>
      <c r="E53" s="56">
        <v>0</v>
      </c>
      <c r="F53" s="54">
        <f t="shared" si="7"/>
        <v>0</v>
      </c>
      <c r="G53" s="99" t="s">
        <v>11</v>
      </c>
      <c r="N53" s="44"/>
      <c r="P53" s="45"/>
    </row>
    <row r="54" spans="2:16" x14ac:dyDescent="0.2">
      <c r="B54" s="50" t="s">
        <v>11</v>
      </c>
      <c r="C54" s="51">
        <v>0</v>
      </c>
      <c r="D54" s="55"/>
      <c r="E54" s="56">
        <v>0</v>
      </c>
      <c r="F54" s="54">
        <f t="shared" si="7"/>
        <v>0</v>
      </c>
      <c r="G54" s="99" t="s">
        <v>11</v>
      </c>
      <c r="N54" s="44"/>
      <c r="P54" s="45"/>
    </row>
    <row r="55" spans="2:16" x14ac:dyDescent="0.2">
      <c r="B55" s="72"/>
      <c r="C55" s="63"/>
      <c r="D55" s="90" t="s">
        <v>3</v>
      </c>
      <c r="E55" s="68"/>
      <c r="F55" s="93">
        <f>SUM(F45:F54)</f>
        <v>147200</v>
      </c>
      <c r="G55" s="98"/>
      <c r="N55" s="44"/>
      <c r="P55" s="45"/>
    </row>
    <row r="56" spans="2:16" x14ac:dyDescent="0.2">
      <c r="B56" s="72"/>
      <c r="D56" s="91" t="str">
        <f>Assumptions!B21</f>
        <v>Contingency</v>
      </c>
      <c r="E56" s="95">
        <f>Assumptions!C21</f>
        <v>0.1</v>
      </c>
      <c r="F56" s="64">
        <f>+MROUND((F55)*E56,100)</f>
        <v>14700</v>
      </c>
      <c r="G56" s="77"/>
      <c r="N56" s="44"/>
      <c r="P56" s="45"/>
    </row>
    <row r="57" spans="2:16" x14ac:dyDescent="0.2">
      <c r="B57" s="72"/>
      <c r="D57" s="91" t="s">
        <v>3</v>
      </c>
      <c r="E57" s="66"/>
      <c r="F57" s="93">
        <f>SUM(F55:F56)</f>
        <v>161900</v>
      </c>
      <c r="G57" s="77"/>
    </row>
    <row r="58" spans="2:16" x14ac:dyDescent="0.2">
      <c r="B58" s="72"/>
      <c r="D58" s="91" t="str">
        <f>Assumptions!B22</f>
        <v>Town Administration and Engineering</v>
      </c>
      <c r="E58" s="96"/>
      <c r="F58" s="64"/>
      <c r="G58" s="77"/>
    </row>
    <row r="59" spans="2:16" x14ac:dyDescent="0.2">
      <c r="B59" s="72"/>
      <c r="D59" s="91" t="str">
        <f>Assumptions!B23</f>
        <v>Town Administration</v>
      </c>
      <c r="E59" s="96">
        <f>Assumptions!C23</f>
        <v>0.03</v>
      </c>
      <c r="F59" s="64">
        <f>+MROUND($F$57*E59,100)</f>
        <v>4900</v>
      </c>
      <c r="G59" s="77"/>
    </row>
    <row r="60" spans="2:16" x14ac:dyDescent="0.2">
      <c r="B60" s="72"/>
      <c r="D60" s="91" t="str">
        <f>Assumptions!B24</f>
        <v>Engineering - Planning/Consultation</v>
      </c>
      <c r="E60" s="96">
        <f>Assumptions!C24</f>
        <v>0</v>
      </c>
      <c r="F60" s="64">
        <f>+MROUND($F$57*E60,100)</f>
        <v>0</v>
      </c>
      <c r="G60" s="77"/>
    </row>
    <row r="61" spans="2:16" x14ac:dyDescent="0.2">
      <c r="B61" s="72"/>
      <c r="D61" s="91" t="str">
        <f>Assumptions!B25</f>
        <v>Engineering - Design</v>
      </c>
      <c r="E61" s="96">
        <f>Assumptions!C25</f>
        <v>0</v>
      </c>
      <c r="F61" s="64">
        <f>+MROUND($F$57*E61,100)</f>
        <v>0</v>
      </c>
      <c r="G61" s="77"/>
    </row>
    <row r="62" spans="2:16" x14ac:dyDescent="0.2">
      <c r="B62" s="72"/>
      <c r="D62" s="91" t="str">
        <f>Assumptions!B26</f>
        <v>Engineering - Construction</v>
      </c>
      <c r="E62" s="96">
        <f>Assumptions!C26</f>
        <v>0</v>
      </c>
      <c r="F62" s="64">
        <f>+MROUND($F$57*E62,100)</f>
        <v>0</v>
      </c>
      <c r="G62" s="77"/>
    </row>
    <row r="63" spans="2:16" x14ac:dyDescent="0.2">
      <c r="B63" s="32"/>
      <c r="C63" s="63"/>
      <c r="D63" s="94" t="s">
        <v>18</v>
      </c>
      <c r="F63" s="124">
        <f>SUM(F57:F62)</f>
        <v>166800</v>
      </c>
      <c r="G63" s="98" t="str">
        <f>G34</f>
        <v>Engineering News Record (ENR) = 10182 (Feb. 2016)</v>
      </c>
    </row>
    <row r="64" spans="2:16" ht="15" thickBot="1" x14ac:dyDescent="0.25">
      <c r="B64" s="73"/>
      <c r="C64" s="70"/>
      <c r="D64" s="70"/>
      <c r="E64" s="71"/>
      <c r="F64" s="71"/>
      <c r="G64" s="80"/>
    </row>
    <row r="65" spans="2:16" x14ac:dyDescent="0.2">
      <c r="B65" s="63"/>
      <c r="C65" s="63"/>
      <c r="D65" s="63"/>
      <c r="E65" s="68"/>
      <c r="F65" s="68"/>
      <c r="G65" s="69"/>
    </row>
    <row r="67" spans="2:16" x14ac:dyDescent="0.2">
      <c r="B67" s="75" t="s">
        <v>7</v>
      </c>
      <c r="C67" s="75"/>
      <c r="D67" s="75"/>
      <c r="E67" s="75"/>
      <c r="F67" s="75"/>
      <c r="G67" s="74"/>
    </row>
    <row r="68" spans="2:16" x14ac:dyDescent="0.2">
      <c r="B68" s="75" t="s">
        <v>8</v>
      </c>
      <c r="C68" s="75"/>
      <c r="D68" s="75"/>
      <c r="E68" s="75"/>
      <c r="F68" s="75"/>
      <c r="G68" s="74"/>
    </row>
    <row r="69" spans="2:16" x14ac:dyDescent="0.2">
      <c r="B69" s="83" t="str">
        <f>Assumptions!B32</f>
        <v>Estimated Replacement Costs</v>
      </c>
      <c r="C69" s="83"/>
      <c r="D69" s="83"/>
      <c r="E69" s="83"/>
      <c r="F69" s="83"/>
      <c r="G69" s="84"/>
      <c r="P69" s="39"/>
    </row>
    <row r="70" spans="2:16" x14ac:dyDescent="0.2">
      <c r="B70" s="83" t="str">
        <f>B5</f>
        <v>Collection System - Meetinghouse Pond</v>
      </c>
      <c r="C70" s="83"/>
      <c r="D70" s="83"/>
      <c r="E70" s="83"/>
      <c r="F70" s="83"/>
      <c r="G70" s="84"/>
      <c r="P70" s="39"/>
    </row>
    <row r="71" spans="2:16" ht="15" thickBot="1" x14ac:dyDescent="0.25">
      <c r="P71" s="39"/>
    </row>
    <row r="72" spans="2:16" ht="15" thickBot="1" x14ac:dyDescent="0.25">
      <c r="B72" s="61" t="s">
        <v>4</v>
      </c>
      <c r="C72" s="62" t="s">
        <v>5</v>
      </c>
      <c r="D72" s="62" t="s">
        <v>1</v>
      </c>
      <c r="E72" s="62" t="s">
        <v>0</v>
      </c>
      <c r="F72" s="78" t="s">
        <v>10</v>
      </c>
      <c r="G72" s="79" t="s">
        <v>9</v>
      </c>
    </row>
    <row r="73" spans="2:16" x14ac:dyDescent="0.2">
      <c r="B73" s="72"/>
      <c r="C73" s="63"/>
      <c r="D73" s="63"/>
      <c r="E73" s="68"/>
      <c r="F73" s="68"/>
      <c r="G73" s="76"/>
      <c r="P73" s="39"/>
    </row>
    <row r="74" spans="2:16" s="103" customFormat="1" x14ac:dyDescent="0.2">
      <c r="B74" s="102" t="str">
        <f>Assumptions!B33</f>
        <v>Mobilization and Demobilization</v>
      </c>
      <c r="C74" s="109">
        <v>1</v>
      </c>
      <c r="D74" s="110" t="s">
        <v>2</v>
      </c>
      <c r="E74" s="64">
        <f>(SUM($F$75:$F$83))*Assumptions!$C$9</f>
        <v>845</v>
      </c>
      <c r="F74" s="111">
        <f>+MROUND(C74*E74,100)</f>
        <v>800</v>
      </c>
      <c r="G74" s="112" t="str">
        <f>CONCATENATE(Assumptions!C33*100,"%"," ","of Other Items")</f>
        <v>5% of Other Items</v>
      </c>
      <c r="N74" s="39"/>
      <c r="O74" s="39"/>
      <c r="P74" s="40"/>
    </row>
    <row r="75" spans="2:16" x14ac:dyDescent="0.2">
      <c r="B75" s="50" t="s">
        <v>33</v>
      </c>
      <c r="C75" s="51">
        <v>1</v>
      </c>
      <c r="D75" s="55" t="s">
        <v>31</v>
      </c>
      <c r="E75" s="56">
        <f>((F12*(1+E25))*(1+E27))*0.005</f>
        <v>4460.625</v>
      </c>
      <c r="F75" s="54">
        <f t="shared" ref="F75:F83" si="8">+MROUND(C75*E75,100)</f>
        <v>4500</v>
      </c>
      <c r="G75" s="99" t="s">
        <v>454</v>
      </c>
      <c r="P75" s="39"/>
    </row>
    <row r="76" spans="2:16" x14ac:dyDescent="0.2">
      <c r="B76" s="50" t="s">
        <v>173</v>
      </c>
      <c r="C76" s="51">
        <f>(C15*0.025)</f>
        <v>4.9750000000000005</v>
      </c>
      <c r="D76" s="55" t="s">
        <v>56</v>
      </c>
      <c r="E76" s="56">
        <v>2500</v>
      </c>
      <c r="F76" s="54">
        <f t="shared" si="8"/>
        <v>12400</v>
      </c>
      <c r="G76" s="99" t="s">
        <v>455</v>
      </c>
    </row>
    <row r="77" spans="2:16" x14ac:dyDescent="0.2">
      <c r="B77" s="50" t="s">
        <v>11</v>
      </c>
      <c r="C77" s="51">
        <v>0</v>
      </c>
      <c r="D77" s="55"/>
      <c r="E77" s="56">
        <v>0</v>
      </c>
      <c r="F77" s="54">
        <f t="shared" si="8"/>
        <v>0</v>
      </c>
      <c r="G77" s="99" t="s">
        <v>11</v>
      </c>
    </row>
    <row r="78" spans="2:16" x14ac:dyDescent="0.2">
      <c r="B78" s="50" t="s">
        <v>11</v>
      </c>
      <c r="C78" s="51">
        <v>0</v>
      </c>
      <c r="D78" s="55"/>
      <c r="E78" s="56">
        <v>0</v>
      </c>
      <c r="F78" s="54">
        <f t="shared" si="8"/>
        <v>0</v>
      </c>
      <c r="G78" s="99" t="s">
        <v>11</v>
      </c>
    </row>
    <row r="79" spans="2:16" x14ac:dyDescent="0.2">
      <c r="B79" s="50" t="s">
        <v>11</v>
      </c>
      <c r="C79" s="51">
        <v>0</v>
      </c>
      <c r="D79" s="55"/>
      <c r="E79" s="56">
        <v>0</v>
      </c>
      <c r="F79" s="54">
        <f t="shared" si="8"/>
        <v>0</v>
      </c>
      <c r="G79" s="99" t="s">
        <v>11</v>
      </c>
    </row>
    <row r="80" spans="2:16" x14ac:dyDescent="0.2">
      <c r="B80" s="50" t="s">
        <v>11</v>
      </c>
      <c r="C80" s="51">
        <v>0</v>
      </c>
      <c r="D80" s="55"/>
      <c r="E80" s="56">
        <v>0</v>
      </c>
      <c r="F80" s="54">
        <f t="shared" si="8"/>
        <v>0</v>
      </c>
      <c r="G80" s="99" t="s">
        <v>11</v>
      </c>
    </row>
    <row r="81" spans="2:7" x14ac:dyDescent="0.2">
      <c r="B81" s="50" t="s">
        <v>11</v>
      </c>
      <c r="C81" s="51">
        <v>0</v>
      </c>
      <c r="D81" s="55"/>
      <c r="E81" s="56">
        <v>0</v>
      </c>
      <c r="F81" s="54">
        <f t="shared" si="8"/>
        <v>0</v>
      </c>
      <c r="G81" s="99" t="s">
        <v>11</v>
      </c>
    </row>
    <row r="82" spans="2:7" x14ac:dyDescent="0.2">
      <c r="B82" s="50" t="s">
        <v>11</v>
      </c>
      <c r="C82" s="51">
        <v>0</v>
      </c>
      <c r="D82" s="55"/>
      <c r="E82" s="56">
        <v>0</v>
      </c>
      <c r="F82" s="54">
        <f t="shared" si="8"/>
        <v>0</v>
      </c>
      <c r="G82" s="99" t="s">
        <v>11</v>
      </c>
    </row>
    <row r="83" spans="2:7" x14ac:dyDescent="0.2">
      <c r="B83" s="50" t="s">
        <v>11</v>
      </c>
      <c r="C83" s="51">
        <v>0</v>
      </c>
      <c r="D83" s="55"/>
      <c r="E83" s="56">
        <v>0</v>
      </c>
      <c r="F83" s="54">
        <f t="shared" si="8"/>
        <v>0</v>
      </c>
      <c r="G83" s="99" t="s">
        <v>11</v>
      </c>
    </row>
    <row r="84" spans="2:7" x14ac:dyDescent="0.2">
      <c r="B84" s="72"/>
      <c r="C84" s="63"/>
      <c r="D84" s="90" t="s">
        <v>3</v>
      </c>
      <c r="E84" s="68"/>
      <c r="F84" s="93">
        <f>SUM(F74:F83)</f>
        <v>17700</v>
      </c>
      <c r="G84" s="98"/>
    </row>
    <row r="85" spans="2:7" x14ac:dyDescent="0.2">
      <c r="B85" s="72"/>
      <c r="D85" s="91" t="str">
        <f>Assumptions!B34</f>
        <v>Overhead and Profit</v>
      </c>
      <c r="E85" s="95">
        <f>Assumptions!C34</f>
        <v>0.22</v>
      </c>
      <c r="F85" s="67">
        <f>+MROUND(F84*E85,100)</f>
        <v>3900</v>
      </c>
      <c r="G85" s="77"/>
    </row>
    <row r="86" spans="2:7" x14ac:dyDescent="0.2">
      <c r="B86" s="72"/>
      <c r="D86" s="91" t="s">
        <v>3</v>
      </c>
      <c r="E86" s="66"/>
      <c r="F86" s="92">
        <f>F85+F84</f>
        <v>21600</v>
      </c>
      <c r="G86" s="77"/>
    </row>
    <row r="87" spans="2:7" x14ac:dyDescent="0.2">
      <c r="B87" s="72"/>
      <c r="D87" s="91" t="str">
        <f>Assumptions!B35</f>
        <v>Contingency</v>
      </c>
      <c r="E87" s="96">
        <f>Assumptions!C35</f>
        <v>0.3</v>
      </c>
      <c r="F87" s="64">
        <f>+MROUND((F86)*E87,100)</f>
        <v>6500</v>
      </c>
      <c r="G87" s="77"/>
    </row>
    <row r="88" spans="2:7" x14ac:dyDescent="0.2">
      <c r="B88" s="72"/>
      <c r="D88" s="91" t="s">
        <v>36</v>
      </c>
      <c r="E88" s="66"/>
      <c r="F88" s="93">
        <f>SUM(F86:F87)</f>
        <v>28100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800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2800</v>
      </c>
      <c r="G92" s="77"/>
    </row>
    <row r="93" spans="2:7" x14ac:dyDescent="0.2">
      <c r="B93" s="72"/>
      <c r="D93" s="91" t="str">
        <f>Assumptions!B40</f>
        <v>Engineering - Construction</v>
      </c>
      <c r="E93" s="96">
        <f>Assumptions!C40</f>
        <v>0.15</v>
      </c>
      <c r="F93" s="64">
        <f>+MROUND($F$88*E93,100)</f>
        <v>4200</v>
      </c>
      <c r="G93" s="77"/>
    </row>
    <row r="94" spans="2:7" x14ac:dyDescent="0.2">
      <c r="B94" s="32"/>
      <c r="C94" s="63"/>
      <c r="D94" s="94" t="s">
        <v>58</v>
      </c>
      <c r="E94" s="68"/>
      <c r="F94" s="124">
        <f>SUM(F88:F93)</f>
        <v>35900</v>
      </c>
      <c r="G94" s="98" t="str">
        <f>G34</f>
        <v>Engineering News Record (ENR) = 10182 (Feb. 2016)</v>
      </c>
    </row>
    <row r="95" spans="2:7" ht="1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Collection System - Meetinghouse Pond</v>
      </c>
      <c r="C101" s="83"/>
      <c r="D101" s="83"/>
      <c r="E101" s="83"/>
      <c r="F101" s="83"/>
      <c r="G101" s="84"/>
    </row>
    <row r="102" spans="2:7" ht="15" thickBot="1" x14ac:dyDescent="0.25"/>
    <row r="103" spans="2:7" ht="1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33</v>
      </c>
      <c r="C105" s="51">
        <f>C12</f>
        <v>1</v>
      </c>
      <c r="D105" s="55" t="s">
        <v>56</v>
      </c>
      <c r="E105" s="56">
        <v>2500</v>
      </c>
      <c r="F105" s="54">
        <f>+MROUND(C105*E105,100)</f>
        <v>2500</v>
      </c>
      <c r="G105" s="99" t="s">
        <v>172</v>
      </c>
    </row>
    <row r="106" spans="2:7" x14ac:dyDescent="0.2">
      <c r="B106" s="50" t="s">
        <v>11</v>
      </c>
      <c r="C106" s="51">
        <v>0</v>
      </c>
      <c r="D106" s="55"/>
      <c r="E106" s="56">
        <v>0</v>
      </c>
      <c r="F106" s="54">
        <f t="shared" ref="F106:F114" si="9">+MROUND(C106*E106,100)</f>
        <v>0</v>
      </c>
      <c r="G106" s="99" t="s">
        <v>11</v>
      </c>
    </row>
    <row r="107" spans="2:7" x14ac:dyDescent="0.2">
      <c r="B107" s="50" t="s">
        <v>11</v>
      </c>
      <c r="C107" s="51">
        <v>0</v>
      </c>
      <c r="D107" s="55"/>
      <c r="E107" s="56">
        <v>0</v>
      </c>
      <c r="F107" s="54">
        <f t="shared" si="9"/>
        <v>0</v>
      </c>
      <c r="G107" s="99" t="s">
        <v>11</v>
      </c>
    </row>
    <row r="108" spans="2:7" x14ac:dyDescent="0.2">
      <c r="B108" s="50" t="s">
        <v>11</v>
      </c>
      <c r="C108" s="51">
        <v>0</v>
      </c>
      <c r="D108" s="55"/>
      <c r="E108" s="56">
        <v>0</v>
      </c>
      <c r="F108" s="54">
        <f t="shared" si="9"/>
        <v>0</v>
      </c>
      <c r="G108" s="99" t="s">
        <v>11</v>
      </c>
    </row>
    <row r="109" spans="2:7" x14ac:dyDescent="0.2">
      <c r="B109" s="50" t="s">
        <v>11</v>
      </c>
      <c r="C109" s="51">
        <v>0</v>
      </c>
      <c r="D109" s="55"/>
      <c r="E109" s="56">
        <v>0</v>
      </c>
      <c r="F109" s="54">
        <f t="shared" si="9"/>
        <v>0</v>
      </c>
      <c r="G109" s="99" t="s">
        <v>11</v>
      </c>
    </row>
    <row r="110" spans="2:7" x14ac:dyDescent="0.2">
      <c r="B110" s="50" t="s">
        <v>11</v>
      </c>
      <c r="C110" s="51">
        <v>0</v>
      </c>
      <c r="D110" s="55"/>
      <c r="E110" s="56">
        <v>0</v>
      </c>
      <c r="F110" s="54">
        <f t="shared" si="9"/>
        <v>0</v>
      </c>
      <c r="G110" s="99" t="s">
        <v>11</v>
      </c>
    </row>
    <row r="111" spans="2:7" x14ac:dyDescent="0.2">
      <c r="B111" s="50" t="s">
        <v>11</v>
      </c>
      <c r="C111" s="51">
        <v>0</v>
      </c>
      <c r="D111" s="55"/>
      <c r="E111" s="56">
        <v>0</v>
      </c>
      <c r="F111" s="54">
        <f t="shared" si="9"/>
        <v>0</v>
      </c>
      <c r="G111" s="99" t="s">
        <v>11</v>
      </c>
    </row>
    <row r="112" spans="2:7" x14ac:dyDescent="0.2">
      <c r="B112" s="50" t="s">
        <v>11</v>
      </c>
      <c r="C112" s="51">
        <v>0</v>
      </c>
      <c r="D112" s="55"/>
      <c r="E112" s="56">
        <v>0</v>
      </c>
      <c r="F112" s="54">
        <f t="shared" si="9"/>
        <v>0</v>
      </c>
      <c r="G112" s="99" t="s">
        <v>11</v>
      </c>
    </row>
    <row r="113" spans="2:7" x14ac:dyDescent="0.2">
      <c r="B113" s="50" t="s">
        <v>11</v>
      </c>
      <c r="C113" s="51">
        <v>0</v>
      </c>
      <c r="D113" s="55"/>
      <c r="E113" s="56">
        <v>0</v>
      </c>
      <c r="F113" s="54">
        <f t="shared" si="9"/>
        <v>0</v>
      </c>
      <c r="G113" s="99" t="s">
        <v>11</v>
      </c>
    </row>
    <row r="114" spans="2:7" x14ac:dyDescent="0.2">
      <c r="B114" s="50" t="s">
        <v>11</v>
      </c>
      <c r="C114" s="51">
        <v>0</v>
      </c>
      <c r="D114" s="55"/>
      <c r="E114" s="56">
        <v>0</v>
      </c>
      <c r="F114" s="54">
        <f t="shared" si="9"/>
        <v>0</v>
      </c>
      <c r="G114" s="99" t="s">
        <v>11</v>
      </c>
    </row>
    <row r="115" spans="2:7" x14ac:dyDescent="0.2">
      <c r="B115" s="72"/>
      <c r="C115" s="63"/>
      <c r="D115" s="90" t="s">
        <v>3</v>
      </c>
      <c r="E115" s="68"/>
      <c r="F115" s="93">
        <f>SUM(F105:F114)</f>
        <v>2500</v>
      </c>
      <c r="G115" s="98"/>
    </row>
    <row r="116" spans="2:7" x14ac:dyDescent="0.2">
      <c r="B116" s="72"/>
      <c r="D116" s="91" t="str">
        <f>Assumptions!B45</f>
        <v>Contingency</v>
      </c>
      <c r="E116" s="95">
        <f>Assumptions!C45</f>
        <v>0.1</v>
      </c>
      <c r="F116" s="64">
        <f>+MROUND((F115)*E116,100)</f>
        <v>300</v>
      </c>
      <c r="G116" s="77"/>
    </row>
    <row r="117" spans="2:7" x14ac:dyDescent="0.2">
      <c r="B117" s="72"/>
      <c r="D117" s="91" t="s">
        <v>3</v>
      </c>
      <c r="E117" s="66"/>
      <c r="F117" s="93">
        <f>SUM(F115:F116)</f>
        <v>2800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100</v>
      </c>
      <c r="G119" s="77"/>
    </row>
    <row r="120" spans="2:7" x14ac:dyDescent="0.2">
      <c r="B120" s="72"/>
      <c r="D120" s="91" t="str">
        <f>Assumptions!B48</f>
        <v>Engineering - Planning/Consultation</v>
      </c>
      <c r="E120" s="96">
        <f>Assumptions!C48</f>
        <v>0.03</v>
      </c>
      <c r="F120" s="64">
        <f>+MROUND($F$117*E120,100)</f>
        <v>100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3000</v>
      </c>
      <c r="G123" s="98" t="str">
        <f>G63</f>
        <v>Engineering News Record (ENR) = 10182 (Feb. 2016)</v>
      </c>
    </row>
    <row r="124" spans="2:7" ht="1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mergeCells count="2">
    <mergeCell ref="N1:P1"/>
    <mergeCell ref="N6:P6"/>
  </mergeCells>
  <dataValidations count="1">
    <dataValidation type="list" allowBlank="1" showInputMessage="1" showErrorMessage="1" sqref="B10:B23">
      <formula1>$N$8:$N$23</formula1>
    </dataValidation>
  </dataValidations>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D105:D114 D75:D83 D45:D54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N100"/>
  <sheetViews>
    <sheetView zoomScale="70" zoomScaleNormal="70" workbookViewId="0">
      <pane xSplit="4" ySplit="8" topLeftCell="E9" activePane="bottomRight" state="frozen"/>
      <selection activeCell="G30" sqref="G30"/>
      <selection pane="topRight" activeCell="G30" sqref="G30"/>
      <selection pane="bottomLeft" activeCell="G30" sqref="G30"/>
      <selection pane="bottomRight"/>
    </sheetView>
  </sheetViews>
  <sheetFormatPr defaultRowHeight="12.75" x14ac:dyDescent="0.2"/>
  <cols>
    <col min="1" max="1" width="2.7109375" style="443" customWidth="1"/>
    <col min="2" max="2" width="40.7109375" style="443" customWidth="1"/>
    <col min="3" max="3" width="16.7109375" style="443" customWidth="1"/>
    <col min="4" max="4" width="16.7109375" style="208" customWidth="1"/>
    <col min="5" max="5" width="1.7109375" style="208" customWidth="1"/>
    <col min="6" max="6" width="10.7109375" style="208" customWidth="1"/>
    <col min="7" max="7" width="15.7109375" style="208" customWidth="1"/>
    <col min="8" max="8" width="1.7109375" style="208" customWidth="1"/>
    <col min="9" max="9" width="10.7109375" style="208" customWidth="1"/>
    <col min="10" max="10" width="15.7109375" style="208" customWidth="1"/>
    <col min="11" max="11" width="1.7109375" style="208" customWidth="1"/>
    <col min="12" max="12" width="10.7109375" style="208" customWidth="1"/>
    <col min="13" max="13" width="15.7109375" style="208" customWidth="1"/>
    <col min="14" max="14" width="1.7109375" style="208" customWidth="1"/>
    <col min="15" max="15" width="10.7109375" style="208" customWidth="1"/>
    <col min="16" max="16" width="15.7109375" style="208" customWidth="1"/>
    <col min="17" max="17" width="1.7109375" style="208" customWidth="1"/>
    <col min="18" max="18" width="10.7109375" style="208" customWidth="1"/>
    <col min="19" max="19" width="15.7109375" style="208" customWidth="1"/>
    <col min="20" max="20" width="1.7109375" style="208" customWidth="1"/>
    <col min="21" max="21" width="10.7109375" style="208" customWidth="1"/>
    <col min="22" max="22" width="15.7109375" style="208" customWidth="1"/>
    <col min="23" max="23" width="2.7109375" style="443" customWidth="1"/>
    <col min="24" max="24" width="10.7109375" style="208" customWidth="1"/>
    <col min="25" max="25" width="15.7109375" style="208" customWidth="1"/>
    <col min="26" max="26" width="2.7109375" style="443" customWidth="1"/>
    <col min="27" max="27" width="10.7109375" style="208" customWidth="1"/>
    <col min="28" max="28" width="15.7109375" style="208" customWidth="1"/>
    <col min="29" max="29" width="2.7109375" style="443" customWidth="1"/>
    <col min="30" max="30" width="10.7109375" style="208" customWidth="1"/>
    <col min="31" max="31" width="15.7109375" style="208" customWidth="1"/>
    <col min="32" max="32" width="2.7109375" style="443" customWidth="1"/>
    <col min="33" max="33" width="10.7109375" style="208" customWidth="1"/>
    <col min="34" max="34" width="15.7109375" style="208" customWidth="1"/>
    <col min="35" max="35" width="2.7109375" style="443" customWidth="1"/>
    <col min="36" max="249" width="9.140625" style="443"/>
    <col min="250" max="250" width="2.7109375" style="443" customWidth="1"/>
    <col min="251" max="251" width="40.7109375" style="443" customWidth="1"/>
    <col min="252" max="253" width="16.7109375" style="443" customWidth="1"/>
    <col min="254" max="254" width="2.7109375" style="443" customWidth="1"/>
    <col min="255" max="255" width="12.7109375" style="443" customWidth="1"/>
    <col min="256" max="256" width="23.28515625" style="443" customWidth="1"/>
    <col min="257" max="257" width="19.28515625" style="443" bestFit="1" customWidth="1"/>
    <col min="258" max="505" width="9.140625" style="443"/>
    <col min="506" max="506" width="2.7109375" style="443" customWidth="1"/>
    <col min="507" max="507" width="40.7109375" style="443" customWidth="1"/>
    <col min="508" max="509" width="16.7109375" style="443" customWidth="1"/>
    <col min="510" max="510" width="2.7109375" style="443" customWidth="1"/>
    <col min="511" max="511" width="12.7109375" style="443" customWidth="1"/>
    <col min="512" max="512" width="23.28515625" style="443" customWidth="1"/>
    <col min="513" max="513" width="19.28515625" style="443" bestFit="1" customWidth="1"/>
    <col min="514" max="761" width="9.140625" style="443"/>
    <col min="762" max="762" width="2.7109375" style="443" customWidth="1"/>
    <col min="763" max="763" width="40.7109375" style="443" customWidth="1"/>
    <col min="764" max="765" width="16.7109375" style="443" customWidth="1"/>
    <col min="766" max="766" width="2.7109375" style="443" customWidth="1"/>
    <col min="767" max="767" width="12.7109375" style="443" customWidth="1"/>
    <col min="768" max="768" width="23.28515625" style="443" customWidth="1"/>
    <col min="769" max="769" width="19.28515625" style="443" bestFit="1" customWidth="1"/>
    <col min="770" max="1017" width="9.140625" style="443"/>
    <col min="1018" max="1018" width="2.7109375" style="443" customWidth="1"/>
    <col min="1019" max="1019" width="40.7109375" style="443" customWidth="1"/>
    <col min="1020" max="1021" width="16.7109375" style="443" customWidth="1"/>
    <col min="1022" max="1022" width="2.7109375" style="443" customWidth="1"/>
    <col min="1023" max="1023" width="12.7109375" style="443" customWidth="1"/>
    <col min="1024" max="1024" width="23.28515625" style="443" customWidth="1"/>
    <col min="1025" max="1025" width="19.28515625" style="443" bestFit="1" customWidth="1"/>
    <col min="1026" max="1273" width="9.140625" style="443"/>
    <col min="1274" max="1274" width="2.7109375" style="443" customWidth="1"/>
    <col min="1275" max="1275" width="40.7109375" style="443" customWidth="1"/>
    <col min="1276" max="1277" width="16.7109375" style="443" customWidth="1"/>
    <col min="1278" max="1278" width="2.7109375" style="443" customWidth="1"/>
    <col min="1279" max="1279" width="12.7109375" style="443" customWidth="1"/>
    <col min="1280" max="1280" width="23.28515625" style="443" customWidth="1"/>
    <col min="1281" max="1281" width="19.28515625" style="443" bestFit="1" customWidth="1"/>
    <col min="1282" max="1529" width="9.140625" style="443"/>
    <col min="1530" max="1530" width="2.7109375" style="443" customWidth="1"/>
    <col min="1531" max="1531" width="40.7109375" style="443" customWidth="1"/>
    <col min="1532" max="1533" width="16.7109375" style="443" customWidth="1"/>
    <col min="1534" max="1534" width="2.7109375" style="443" customWidth="1"/>
    <col min="1535" max="1535" width="12.7109375" style="443" customWidth="1"/>
    <col min="1536" max="1536" width="23.28515625" style="443" customWidth="1"/>
    <col min="1537" max="1537" width="19.28515625" style="443" bestFit="1" customWidth="1"/>
    <col min="1538" max="1785" width="9.140625" style="443"/>
    <col min="1786" max="1786" width="2.7109375" style="443" customWidth="1"/>
    <col min="1787" max="1787" width="40.7109375" style="443" customWidth="1"/>
    <col min="1788" max="1789" width="16.7109375" style="443" customWidth="1"/>
    <col min="1790" max="1790" width="2.7109375" style="443" customWidth="1"/>
    <col min="1791" max="1791" width="12.7109375" style="443" customWidth="1"/>
    <col min="1792" max="1792" width="23.28515625" style="443" customWidth="1"/>
    <col min="1793" max="1793" width="19.28515625" style="443" bestFit="1" customWidth="1"/>
    <col min="1794" max="2041" width="9.140625" style="443"/>
    <col min="2042" max="2042" width="2.7109375" style="443" customWidth="1"/>
    <col min="2043" max="2043" width="40.7109375" style="443" customWidth="1"/>
    <col min="2044" max="2045" width="16.7109375" style="443" customWidth="1"/>
    <col min="2046" max="2046" width="2.7109375" style="443" customWidth="1"/>
    <col min="2047" max="2047" width="12.7109375" style="443" customWidth="1"/>
    <col min="2048" max="2048" width="23.28515625" style="443" customWidth="1"/>
    <col min="2049" max="2049" width="19.28515625" style="443" bestFit="1" customWidth="1"/>
    <col min="2050" max="2297" width="9.140625" style="443"/>
    <col min="2298" max="2298" width="2.7109375" style="443" customWidth="1"/>
    <col min="2299" max="2299" width="40.7109375" style="443" customWidth="1"/>
    <col min="2300" max="2301" width="16.7109375" style="443" customWidth="1"/>
    <col min="2302" max="2302" width="2.7109375" style="443" customWidth="1"/>
    <col min="2303" max="2303" width="12.7109375" style="443" customWidth="1"/>
    <col min="2304" max="2304" width="23.28515625" style="443" customWidth="1"/>
    <col min="2305" max="2305" width="19.28515625" style="443" bestFit="1" customWidth="1"/>
    <col min="2306" max="2553" width="9.140625" style="443"/>
    <col min="2554" max="2554" width="2.7109375" style="443" customWidth="1"/>
    <col min="2555" max="2555" width="40.7109375" style="443" customWidth="1"/>
    <col min="2556" max="2557" width="16.7109375" style="443" customWidth="1"/>
    <col min="2558" max="2558" width="2.7109375" style="443" customWidth="1"/>
    <col min="2559" max="2559" width="12.7109375" style="443" customWidth="1"/>
    <col min="2560" max="2560" width="23.28515625" style="443" customWidth="1"/>
    <col min="2561" max="2561" width="19.28515625" style="443" bestFit="1" customWidth="1"/>
    <col min="2562" max="2809" width="9.140625" style="443"/>
    <col min="2810" max="2810" width="2.7109375" style="443" customWidth="1"/>
    <col min="2811" max="2811" width="40.7109375" style="443" customWidth="1"/>
    <col min="2812" max="2813" width="16.7109375" style="443" customWidth="1"/>
    <col min="2814" max="2814" width="2.7109375" style="443" customWidth="1"/>
    <col min="2815" max="2815" width="12.7109375" style="443" customWidth="1"/>
    <col min="2816" max="2816" width="23.28515625" style="443" customWidth="1"/>
    <col min="2817" max="2817" width="19.28515625" style="443" bestFit="1" customWidth="1"/>
    <col min="2818" max="3065" width="9.140625" style="443"/>
    <col min="3066" max="3066" width="2.7109375" style="443" customWidth="1"/>
    <col min="3067" max="3067" width="40.7109375" style="443" customWidth="1"/>
    <col min="3068" max="3069" width="16.7109375" style="443" customWidth="1"/>
    <col min="3070" max="3070" width="2.7109375" style="443" customWidth="1"/>
    <col min="3071" max="3071" width="12.7109375" style="443" customWidth="1"/>
    <col min="3072" max="3072" width="23.28515625" style="443" customWidth="1"/>
    <col min="3073" max="3073" width="19.28515625" style="443" bestFit="1" customWidth="1"/>
    <col min="3074" max="3321" width="9.140625" style="443"/>
    <col min="3322" max="3322" width="2.7109375" style="443" customWidth="1"/>
    <col min="3323" max="3323" width="40.7109375" style="443" customWidth="1"/>
    <col min="3324" max="3325" width="16.7109375" style="443" customWidth="1"/>
    <col min="3326" max="3326" width="2.7109375" style="443" customWidth="1"/>
    <col min="3327" max="3327" width="12.7109375" style="443" customWidth="1"/>
    <col min="3328" max="3328" width="23.28515625" style="443" customWidth="1"/>
    <col min="3329" max="3329" width="19.28515625" style="443" bestFit="1" customWidth="1"/>
    <col min="3330" max="3577" width="9.140625" style="443"/>
    <col min="3578" max="3578" width="2.7109375" style="443" customWidth="1"/>
    <col min="3579" max="3579" width="40.7109375" style="443" customWidth="1"/>
    <col min="3580" max="3581" width="16.7109375" style="443" customWidth="1"/>
    <col min="3582" max="3582" width="2.7109375" style="443" customWidth="1"/>
    <col min="3583" max="3583" width="12.7109375" style="443" customWidth="1"/>
    <col min="3584" max="3584" width="23.28515625" style="443" customWidth="1"/>
    <col min="3585" max="3585" width="19.28515625" style="443" bestFit="1" customWidth="1"/>
    <col min="3586" max="3833" width="9.140625" style="443"/>
    <col min="3834" max="3834" width="2.7109375" style="443" customWidth="1"/>
    <col min="3835" max="3835" width="40.7109375" style="443" customWidth="1"/>
    <col min="3836" max="3837" width="16.7109375" style="443" customWidth="1"/>
    <col min="3838" max="3838" width="2.7109375" style="443" customWidth="1"/>
    <col min="3839" max="3839" width="12.7109375" style="443" customWidth="1"/>
    <col min="3840" max="3840" width="23.28515625" style="443" customWidth="1"/>
    <col min="3841" max="3841" width="19.28515625" style="443" bestFit="1" customWidth="1"/>
    <col min="3842" max="4089" width="9.140625" style="443"/>
    <col min="4090" max="4090" width="2.7109375" style="443" customWidth="1"/>
    <col min="4091" max="4091" width="40.7109375" style="443" customWidth="1"/>
    <col min="4092" max="4093" width="16.7109375" style="443" customWidth="1"/>
    <col min="4094" max="4094" width="2.7109375" style="443" customWidth="1"/>
    <col min="4095" max="4095" width="12.7109375" style="443" customWidth="1"/>
    <col min="4096" max="4096" width="23.28515625" style="443" customWidth="1"/>
    <col min="4097" max="4097" width="19.28515625" style="443" bestFit="1" customWidth="1"/>
    <col min="4098" max="4345" width="9.140625" style="443"/>
    <col min="4346" max="4346" width="2.7109375" style="443" customWidth="1"/>
    <col min="4347" max="4347" width="40.7109375" style="443" customWidth="1"/>
    <col min="4348" max="4349" width="16.7109375" style="443" customWidth="1"/>
    <col min="4350" max="4350" width="2.7109375" style="443" customWidth="1"/>
    <col min="4351" max="4351" width="12.7109375" style="443" customWidth="1"/>
    <col min="4352" max="4352" width="23.28515625" style="443" customWidth="1"/>
    <col min="4353" max="4353" width="19.28515625" style="443" bestFit="1" customWidth="1"/>
    <col min="4354" max="4601" width="9.140625" style="443"/>
    <col min="4602" max="4602" width="2.7109375" style="443" customWidth="1"/>
    <col min="4603" max="4603" width="40.7109375" style="443" customWidth="1"/>
    <col min="4604" max="4605" width="16.7109375" style="443" customWidth="1"/>
    <col min="4606" max="4606" width="2.7109375" style="443" customWidth="1"/>
    <col min="4607" max="4607" width="12.7109375" style="443" customWidth="1"/>
    <col min="4608" max="4608" width="23.28515625" style="443" customWidth="1"/>
    <col min="4609" max="4609" width="19.28515625" style="443" bestFit="1" customWidth="1"/>
    <col min="4610" max="4857" width="9.140625" style="443"/>
    <col min="4858" max="4858" width="2.7109375" style="443" customWidth="1"/>
    <col min="4859" max="4859" width="40.7109375" style="443" customWidth="1"/>
    <col min="4860" max="4861" width="16.7109375" style="443" customWidth="1"/>
    <col min="4862" max="4862" width="2.7109375" style="443" customWidth="1"/>
    <col min="4863" max="4863" width="12.7109375" style="443" customWidth="1"/>
    <col min="4864" max="4864" width="23.28515625" style="443" customWidth="1"/>
    <col min="4865" max="4865" width="19.28515625" style="443" bestFit="1" customWidth="1"/>
    <col min="4866" max="5113" width="9.140625" style="443"/>
    <col min="5114" max="5114" width="2.7109375" style="443" customWidth="1"/>
    <col min="5115" max="5115" width="40.7109375" style="443" customWidth="1"/>
    <col min="5116" max="5117" width="16.7109375" style="443" customWidth="1"/>
    <col min="5118" max="5118" width="2.7109375" style="443" customWidth="1"/>
    <col min="5119" max="5119" width="12.7109375" style="443" customWidth="1"/>
    <col min="5120" max="5120" width="23.28515625" style="443" customWidth="1"/>
    <col min="5121" max="5121" width="19.28515625" style="443" bestFit="1" customWidth="1"/>
    <col min="5122" max="5369" width="9.140625" style="443"/>
    <col min="5370" max="5370" width="2.7109375" style="443" customWidth="1"/>
    <col min="5371" max="5371" width="40.7109375" style="443" customWidth="1"/>
    <col min="5372" max="5373" width="16.7109375" style="443" customWidth="1"/>
    <col min="5374" max="5374" width="2.7109375" style="443" customWidth="1"/>
    <col min="5375" max="5375" width="12.7109375" style="443" customWidth="1"/>
    <col min="5376" max="5376" width="23.28515625" style="443" customWidth="1"/>
    <col min="5377" max="5377" width="19.28515625" style="443" bestFit="1" customWidth="1"/>
    <col min="5378" max="5625" width="9.140625" style="443"/>
    <col min="5626" max="5626" width="2.7109375" style="443" customWidth="1"/>
    <col min="5627" max="5627" width="40.7109375" style="443" customWidth="1"/>
    <col min="5628" max="5629" width="16.7109375" style="443" customWidth="1"/>
    <col min="5630" max="5630" width="2.7109375" style="443" customWidth="1"/>
    <col min="5631" max="5631" width="12.7109375" style="443" customWidth="1"/>
    <col min="5632" max="5632" width="23.28515625" style="443" customWidth="1"/>
    <col min="5633" max="5633" width="19.28515625" style="443" bestFit="1" customWidth="1"/>
    <col min="5634" max="5881" width="9.140625" style="443"/>
    <col min="5882" max="5882" width="2.7109375" style="443" customWidth="1"/>
    <col min="5883" max="5883" width="40.7109375" style="443" customWidth="1"/>
    <col min="5884" max="5885" width="16.7109375" style="443" customWidth="1"/>
    <col min="5886" max="5886" width="2.7109375" style="443" customWidth="1"/>
    <col min="5887" max="5887" width="12.7109375" style="443" customWidth="1"/>
    <col min="5888" max="5888" width="23.28515625" style="443" customWidth="1"/>
    <col min="5889" max="5889" width="19.28515625" style="443" bestFit="1" customWidth="1"/>
    <col min="5890" max="6137" width="9.140625" style="443"/>
    <col min="6138" max="6138" width="2.7109375" style="443" customWidth="1"/>
    <col min="6139" max="6139" width="40.7109375" style="443" customWidth="1"/>
    <col min="6140" max="6141" width="16.7109375" style="443" customWidth="1"/>
    <col min="6142" max="6142" width="2.7109375" style="443" customWidth="1"/>
    <col min="6143" max="6143" width="12.7109375" style="443" customWidth="1"/>
    <col min="6144" max="6144" width="23.28515625" style="443" customWidth="1"/>
    <col min="6145" max="6145" width="19.28515625" style="443" bestFit="1" customWidth="1"/>
    <col min="6146" max="6393" width="9.140625" style="443"/>
    <col min="6394" max="6394" width="2.7109375" style="443" customWidth="1"/>
    <col min="6395" max="6395" width="40.7109375" style="443" customWidth="1"/>
    <col min="6396" max="6397" width="16.7109375" style="443" customWidth="1"/>
    <col min="6398" max="6398" width="2.7109375" style="443" customWidth="1"/>
    <col min="6399" max="6399" width="12.7109375" style="443" customWidth="1"/>
    <col min="6400" max="6400" width="23.28515625" style="443" customWidth="1"/>
    <col min="6401" max="6401" width="19.28515625" style="443" bestFit="1" customWidth="1"/>
    <col min="6402" max="6649" width="9.140625" style="443"/>
    <col min="6650" max="6650" width="2.7109375" style="443" customWidth="1"/>
    <col min="6651" max="6651" width="40.7109375" style="443" customWidth="1"/>
    <col min="6652" max="6653" width="16.7109375" style="443" customWidth="1"/>
    <col min="6654" max="6654" width="2.7109375" style="443" customWidth="1"/>
    <col min="6655" max="6655" width="12.7109375" style="443" customWidth="1"/>
    <col min="6656" max="6656" width="23.28515625" style="443" customWidth="1"/>
    <col min="6657" max="6657" width="19.28515625" style="443" bestFit="1" customWidth="1"/>
    <col min="6658" max="6905" width="9.140625" style="443"/>
    <col min="6906" max="6906" width="2.7109375" style="443" customWidth="1"/>
    <col min="6907" max="6907" width="40.7109375" style="443" customWidth="1"/>
    <col min="6908" max="6909" width="16.7109375" style="443" customWidth="1"/>
    <col min="6910" max="6910" width="2.7109375" style="443" customWidth="1"/>
    <col min="6911" max="6911" width="12.7109375" style="443" customWidth="1"/>
    <col min="6912" max="6912" width="23.28515625" style="443" customWidth="1"/>
    <col min="6913" max="6913" width="19.28515625" style="443" bestFit="1" customWidth="1"/>
    <col min="6914" max="7161" width="9.140625" style="443"/>
    <col min="7162" max="7162" width="2.7109375" style="443" customWidth="1"/>
    <col min="7163" max="7163" width="40.7109375" style="443" customWidth="1"/>
    <col min="7164" max="7165" width="16.7109375" style="443" customWidth="1"/>
    <col min="7166" max="7166" width="2.7109375" style="443" customWidth="1"/>
    <col min="7167" max="7167" width="12.7109375" style="443" customWidth="1"/>
    <col min="7168" max="7168" width="23.28515625" style="443" customWidth="1"/>
    <col min="7169" max="7169" width="19.28515625" style="443" bestFit="1" customWidth="1"/>
    <col min="7170" max="7417" width="9.140625" style="443"/>
    <col min="7418" max="7418" width="2.7109375" style="443" customWidth="1"/>
    <col min="7419" max="7419" width="40.7109375" style="443" customWidth="1"/>
    <col min="7420" max="7421" width="16.7109375" style="443" customWidth="1"/>
    <col min="7422" max="7422" width="2.7109375" style="443" customWidth="1"/>
    <col min="7423" max="7423" width="12.7109375" style="443" customWidth="1"/>
    <col min="7424" max="7424" width="23.28515625" style="443" customWidth="1"/>
    <col min="7425" max="7425" width="19.28515625" style="443" bestFit="1" customWidth="1"/>
    <col min="7426" max="7673" width="9.140625" style="443"/>
    <col min="7674" max="7674" width="2.7109375" style="443" customWidth="1"/>
    <col min="7675" max="7675" width="40.7109375" style="443" customWidth="1"/>
    <col min="7676" max="7677" width="16.7109375" style="443" customWidth="1"/>
    <col min="7678" max="7678" width="2.7109375" style="443" customWidth="1"/>
    <col min="7679" max="7679" width="12.7109375" style="443" customWidth="1"/>
    <col min="7680" max="7680" width="23.28515625" style="443" customWidth="1"/>
    <col min="7681" max="7681" width="19.28515625" style="443" bestFit="1" customWidth="1"/>
    <col min="7682" max="7929" width="9.140625" style="443"/>
    <col min="7930" max="7930" width="2.7109375" style="443" customWidth="1"/>
    <col min="7931" max="7931" width="40.7109375" style="443" customWidth="1"/>
    <col min="7932" max="7933" width="16.7109375" style="443" customWidth="1"/>
    <col min="7934" max="7934" width="2.7109375" style="443" customWidth="1"/>
    <col min="7935" max="7935" width="12.7109375" style="443" customWidth="1"/>
    <col min="7936" max="7936" width="23.28515625" style="443" customWidth="1"/>
    <col min="7937" max="7937" width="19.28515625" style="443" bestFit="1" customWidth="1"/>
    <col min="7938" max="8185" width="9.140625" style="443"/>
    <col min="8186" max="8186" width="2.7109375" style="443" customWidth="1"/>
    <col min="8187" max="8187" width="40.7109375" style="443" customWidth="1"/>
    <col min="8188" max="8189" width="16.7109375" style="443" customWidth="1"/>
    <col min="8190" max="8190" width="2.7109375" style="443" customWidth="1"/>
    <col min="8191" max="8191" width="12.7109375" style="443" customWidth="1"/>
    <col min="8192" max="8192" width="23.28515625" style="443" customWidth="1"/>
    <col min="8193" max="8193" width="19.28515625" style="443" bestFit="1" customWidth="1"/>
    <col min="8194" max="8441" width="9.140625" style="443"/>
    <col min="8442" max="8442" width="2.7109375" style="443" customWidth="1"/>
    <col min="8443" max="8443" width="40.7109375" style="443" customWidth="1"/>
    <col min="8444" max="8445" width="16.7109375" style="443" customWidth="1"/>
    <col min="8446" max="8446" width="2.7109375" style="443" customWidth="1"/>
    <col min="8447" max="8447" width="12.7109375" style="443" customWidth="1"/>
    <col min="8448" max="8448" width="23.28515625" style="443" customWidth="1"/>
    <col min="8449" max="8449" width="19.28515625" style="443" bestFit="1" customWidth="1"/>
    <col min="8450" max="8697" width="9.140625" style="443"/>
    <col min="8698" max="8698" width="2.7109375" style="443" customWidth="1"/>
    <col min="8699" max="8699" width="40.7109375" style="443" customWidth="1"/>
    <col min="8700" max="8701" width="16.7109375" style="443" customWidth="1"/>
    <col min="8702" max="8702" width="2.7109375" style="443" customWidth="1"/>
    <col min="8703" max="8703" width="12.7109375" style="443" customWidth="1"/>
    <col min="8704" max="8704" width="23.28515625" style="443" customWidth="1"/>
    <col min="8705" max="8705" width="19.28515625" style="443" bestFit="1" customWidth="1"/>
    <col min="8706" max="8953" width="9.140625" style="443"/>
    <col min="8954" max="8954" width="2.7109375" style="443" customWidth="1"/>
    <col min="8955" max="8955" width="40.7109375" style="443" customWidth="1"/>
    <col min="8956" max="8957" width="16.7109375" style="443" customWidth="1"/>
    <col min="8958" max="8958" width="2.7109375" style="443" customWidth="1"/>
    <col min="8959" max="8959" width="12.7109375" style="443" customWidth="1"/>
    <col min="8960" max="8960" width="23.28515625" style="443" customWidth="1"/>
    <col min="8961" max="8961" width="19.28515625" style="443" bestFit="1" customWidth="1"/>
    <col min="8962" max="9209" width="9.140625" style="443"/>
    <col min="9210" max="9210" width="2.7109375" style="443" customWidth="1"/>
    <col min="9211" max="9211" width="40.7109375" style="443" customWidth="1"/>
    <col min="9212" max="9213" width="16.7109375" style="443" customWidth="1"/>
    <col min="9214" max="9214" width="2.7109375" style="443" customWidth="1"/>
    <col min="9215" max="9215" width="12.7109375" style="443" customWidth="1"/>
    <col min="9216" max="9216" width="23.28515625" style="443" customWidth="1"/>
    <col min="9217" max="9217" width="19.28515625" style="443" bestFit="1" customWidth="1"/>
    <col min="9218" max="9465" width="9.140625" style="443"/>
    <col min="9466" max="9466" width="2.7109375" style="443" customWidth="1"/>
    <col min="9467" max="9467" width="40.7109375" style="443" customWidth="1"/>
    <col min="9468" max="9469" width="16.7109375" style="443" customWidth="1"/>
    <col min="9470" max="9470" width="2.7109375" style="443" customWidth="1"/>
    <col min="9471" max="9471" width="12.7109375" style="443" customWidth="1"/>
    <col min="9472" max="9472" width="23.28515625" style="443" customWidth="1"/>
    <col min="9473" max="9473" width="19.28515625" style="443" bestFit="1" customWidth="1"/>
    <col min="9474" max="9721" width="9.140625" style="443"/>
    <col min="9722" max="9722" width="2.7109375" style="443" customWidth="1"/>
    <col min="9723" max="9723" width="40.7109375" style="443" customWidth="1"/>
    <col min="9724" max="9725" width="16.7109375" style="443" customWidth="1"/>
    <col min="9726" max="9726" width="2.7109375" style="443" customWidth="1"/>
    <col min="9727" max="9727" width="12.7109375" style="443" customWidth="1"/>
    <col min="9728" max="9728" width="23.28515625" style="443" customWidth="1"/>
    <col min="9729" max="9729" width="19.28515625" style="443" bestFit="1" customWidth="1"/>
    <col min="9730" max="9977" width="9.140625" style="443"/>
    <col min="9978" max="9978" width="2.7109375" style="443" customWidth="1"/>
    <col min="9979" max="9979" width="40.7109375" style="443" customWidth="1"/>
    <col min="9980" max="9981" width="16.7109375" style="443" customWidth="1"/>
    <col min="9982" max="9982" width="2.7109375" style="443" customWidth="1"/>
    <col min="9983" max="9983" width="12.7109375" style="443" customWidth="1"/>
    <col min="9984" max="9984" width="23.28515625" style="443" customWidth="1"/>
    <col min="9985" max="9985" width="19.28515625" style="443" bestFit="1" customWidth="1"/>
    <col min="9986" max="10233" width="9.140625" style="443"/>
    <col min="10234" max="10234" width="2.7109375" style="443" customWidth="1"/>
    <col min="10235" max="10235" width="40.7109375" style="443" customWidth="1"/>
    <col min="10236" max="10237" width="16.7109375" style="443" customWidth="1"/>
    <col min="10238" max="10238" width="2.7109375" style="443" customWidth="1"/>
    <col min="10239" max="10239" width="12.7109375" style="443" customWidth="1"/>
    <col min="10240" max="10240" width="23.28515625" style="443" customWidth="1"/>
    <col min="10241" max="10241" width="19.28515625" style="443" bestFit="1" customWidth="1"/>
    <col min="10242" max="10489" width="9.140625" style="443"/>
    <col min="10490" max="10490" width="2.7109375" style="443" customWidth="1"/>
    <col min="10491" max="10491" width="40.7109375" style="443" customWidth="1"/>
    <col min="10492" max="10493" width="16.7109375" style="443" customWidth="1"/>
    <col min="10494" max="10494" width="2.7109375" style="443" customWidth="1"/>
    <col min="10495" max="10495" width="12.7109375" style="443" customWidth="1"/>
    <col min="10496" max="10496" width="23.28515625" style="443" customWidth="1"/>
    <col min="10497" max="10497" width="19.28515625" style="443" bestFit="1" customWidth="1"/>
    <col min="10498" max="10745" width="9.140625" style="443"/>
    <col min="10746" max="10746" width="2.7109375" style="443" customWidth="1"/>
    <col min="10747" max="10747" width="40.7109375" style="443" customWidth="1"/>
    <col min="10748" max="10749" width="16.7109375" style="443" customWidth="1"/>
    <col min="10750" max="10750" width="2.7109375" style="443" customWidth="1"/>
    <col min="10751" max="10751" width="12.7109375" style="443" customWidth="1"/>
    <col min="10752" max="10752" width="23.28515625" style="443" customWidth="1"/>
    <col min="10753" max="10753" width="19.28515625" style="443" bestFit="1" customWidth="1"/>
    <col min="10754" max="11001" width="9.140625" style="443"/>
    <col min="11002" max="11002" width="2.7109375" style="443" customWidth="1"/>
    <col min="11003" max="11003" width="40.7109375" style="443" customWidth="1"/>
    <col min="11004" max="11005" width="16.7109375" style="443" customWidth="1"/>
    <col min="11006" max="11006" width="2.7109375" style="443" customWidth="1"/>
    <col min="11007" max="11007" width="12.7109375" style="443" customWidth="1"/>
    <col min="11008" max="11008" width="23.28515625" style="443" customWidth="1"/>
    <col min="11009" max="11009" width="19.28515625" style="443" bestFit="1" customWidth="1"/>
    <col min="11010" max="11257" width="9.140625" style="443"/>
    <col min="11258" max="11258" width="2.7109375" style="443" customWidth="1"/>
    <col min="11259" max="11259" width="40.7109375" style="443" customWidth="1"/>
    <col min="11260" max="11261" width="16.7109375" style="443" customWidth="1"/>
    <col min="11262" max="11262" width="2.7109375" style="443" customWidth="1"/>
    <col min="11263" max="11263" width="12.7109375" style="443" customWidth="1"/>
    <col min="11264" max="11264" width="23.28515625" style="443" customWidth="1"/>
    <col min="11265" max="11265" width="19.28515625" style="443" bestFit="1" customWidth="1"/>
    <col min="11266" max="11513" width="9.140625" style="443"/>
    <col min="11514" max="11514" width="2.7109375" style="443" customWidth="1"/>
    <col min="11515" max="11515" width="40.7109375" style="443" customWidth="1"/>
    <col min="11516" max="11517" width="16.7109375" style="443" customWidth="1"/>
    <col min="11518" max="11518" width="2.7109375" style="443" customWidth="1"/>
    <col min="11519" max="11519" width="12.7109375" style="443" customWidth="1"/>
    <col min="11520" max="11520" width="23.28515625" style="443" customWidth="1"/>
    <col min="11521" max="11521" width="19.28515625" style="443" bestFit="1" customWidth="1"/>
    <col min="11522" max="11769" width="9.140625" style="443"/>
    <col min="11770" max="11770" width="2.7109375" style="443" customWidth="1"/>
    <col min="11771" max="11771" width="40.7109375" style="443" customWidth="1"/>
    <col min="11772" max="11773" width="16.7109375" style="443" customWidth="1"/>
    <col min="11774" max="11774" width="2.7109375" style="443" customWidth="1"/>
    <col min="11775" max="11775" width="12.7109375" style="443" customWidth="1"/>
    <col min="11776" max="11776" width="23.28515625" style="443" customWidth="1"/>
    <col min="11777" max="11777" width="19.28515625" style="443" bestFit="1" customWidth="1"/>
    <col min="11778" max="12025" width="9.140625" style="443"/>
    <col min="12026" max="12026" width="2.7109375" style="443" customWidth="1"/>
    <col min="12027" max="12027" width="40.7109375" style="443" customWidth="1"/>
    <col min="12028" max="12029" width="16.7109375" style="443" customWidth="1"/>
    <col min="12030" max="12030" width="2.7109375" style="443" customWidth="1"/>
    <col min="12031" max="12031" width="12.7109375" style="443" customWidth="1"/>
    <col min="12032" max="12032" width="23.28515625" style="443" customWidth="1"/>
    <col min="12033" max="12033" width="19.28515625" style="443" bestFit="1" customWidth="1"/>
    <col min="12034" max="12281" width="9.140625" style="443"/>
    <col min="12282" max="12282" width="2.7109375" style="443" customWidth="1"/>
    <col min="12283" max="12283" width="40.7109375" style="443" customWidth="1"/>
    <col min="12284" max="12285" width="16.7109375" style="443" customWidth="1"/>
    <col min="12286" max="12286" width="2.7109375" style="443" customWidth="1"/>
    <col min="12287" max="12287" width="12.7109375" style="443" customWidth="1"/>
    <col min="12288" max="12288" width="23.28515625" style="443" customWidth="1"/>
    <col min="12289" max="12289" width="19.28515625" style="443" bestFit="1" customWidth="1"/>
    <col min="12290" max="12537" width="9.140625" style="443"/>
    <col min="12538" max="12538" width="2.7109375" style="443" customWidth="1"/>
    <col min="12539" max="12539" width="40.7109375" style="443" customWidth="1"/>
    <col min="12540" max="12541" width="16.7109375" style="443" customWidth="1"/>
    <col min="12542" max="12542" width="2.7109375" style="443" customWidth="1"/>
    <col min="12543" max="12543" width="12.7109375" style="443" customWidth="1"/>
    <col min="12544" max="12544" width="23.28515625" style="443" customWidth="1"/>
    <col min="12545" max="12545" width="19.28515625" style="443" bestFit="1" customWidth="1"/>
    <col min="12546" max="12793" width="9.140625" style="443"/>
    <col min="12794" max="12794" width="2.7109375" style="443" customWidth="1"/>
    <col min="12795" max="12795" width="40.7109375" style="443" customWidth="1"/>
    <col min="12796" max="12797" width="16.7109375" style="443" customWidth="1"/>
    <col min="12798" max="12798" width="2.7109375" style="443" customWidth="1"/>
    <col min="12799" max="12799" width="12.7109375" style="443" customWidth="1"/>
    <col min="12800" max="12800" width="23.28515625" style="443" customWidth="1"/>
    <col min="12801" max="12801" width="19.28515625" style="443" bestFit="1" customWidth="1"/>
    <col min="12802" max="13049" width="9.140625" style="443"/>
    <col min="13050" max="13050" width="2.7109375" style="443" customWidth="1"/>
    <col min="13051" max="13051" width="40.7109375" style="443" customWidth="1"/>
    <col min="13052" max="13053" width="16.7109375" style="443" customWidth="1"/>
    <col min="13054" max="13054" width="2.7109375" style="443" customWidth="1"/>
    <col min="13055" max="13055" width="12.7109375" style="443" customWidth="1"/>
    <col min="13056" max="13056" width="23.28515625" style="443" customWidth="1"/>
    <col min="13057" max="13057" width="19.28515625" style="443" bestFit="1" customWidth="1"/>
    <col min="13058" max="13305" width="9.140625" style="443"/>
    <col min="13306" max="13306" width="2.7109375" style="443" customWidth="1"/>
    <col min="13307" max="13307" width="40.7109375" style="443" customWidth="1"/>
    <col min="13308" max="13309" width="16.7109375" style="443" customWidth="1"/>
    <col min="13310" max="13310" width="2.7109375" style="443" customWidth="1"/>
    <col min="13311" max="13311" width="12.7109375" style="443" customWidth="1"/>
    <col min="13312" max="13312" width="23.28515625" style="443" customWidth="1"/>
    <col min="13313" max="13313" width="19.28515625" style="443" bestFit="1" customWidth="1"/>
    <col min="13314" max="13561" width="9.140625" style="443"/>
    <col min="13562" max="13562" width="2.7109375" style="443" customWidth="1"/>
    <col min="13563" max="13563" width="40.7109375" style="443" customWidth="1"/>
    <col min="13564" max="13565" width="16.7109375" style="443" customWidth="1"/>
    <col min="13566" max="13566" width="2.7109375" style="443" customWidth="1"/>
    <col min="13567" max="13567" width="12.7109375" style="443" customWidth="1"/>
    <col min="13568" max="13568" width="23.28515625" style="443" customWidth="1"/>
    <col min="13569" max="13569" width="19.28515625" style="443" bestFit="1" customWidth="1"/>
    <col min="13570" max="13817" width="9.140625" style="443"/>
    <col min="13818" max="13818" width="2.7109375" style="443" customWidth="1"/>
    <col min="13819" max="13819" width="40.7109375" style="443" customWidth="1"/>
    <col min="13820" max="13821" width="16.7109375" style="443" customWidth="1"/>
    <col min="13822" max="13822" width="2.7109375" style="443" customWidth="1"/>
    <col min="13823" max="13823" width="12.7109375" style="443" customWidth="1"/>
    <col min="13824" max="13824" width="23.28515625" style="443" customWidth="1"/>
    <col min="13825" max="13825" width="19.28515625" style="443" bestFit="1" customWidth="1"/>
    <col min="13826" max="14073" width="9.140625" style="443"/>
    <col min="14074" max="14074" width="2.7109375" style="443" customWidth="1"/>
    <col min="14075" max="14075" width="40.7109375" style="443" customWidth="1"/>
    <col min="14076" max="14077" width="16.7109375" style="443" customWidth="1"/>
    <col min="14078" max="14078" width="2.7109375" style="443" customWidth="1"/>
    <col min="14079" max="14079" width="12.7109375" style="443" customWidth="1"/>
    <col min="14080" max="14080" width="23.28515625" style="443" customWidth="1"/>
    <col min="14081" max="14081" width="19.28515625" style="443" bestFit="1" customWidth="1"/>
    <col min="14082" max="14329" width="9.140625" style="443"/>
    <col min="14330" max="14330" width="2.7109375" style="443" customWidth="1"/>
    <col min="14331" max="14331" width="40.7109375" style="443" customWidth="1"/>
    <col min="14332" max="14333" width="16.7109375" style="443" customWidth="1"/>
    <col min="14334" max="14334" width="2.7109375" style="443" customWidth="1"/>
    <col min="14335" max="14335" width="12.7109375" style="443" customWidth="1"/>
    <col min="14336" max="14336" width="23.28515625" style="443" customWidth="1"/>
    <col min="14337" max="14337" width="19.28515625" style="443" bestFit="1" customWidth="1"/>
    <col min="14338" max="14585" width="9.140625" style="443"/>
    <col min="14586" max="14586" width="2.7109375" style="443" customWidth="1"/>
    <col min="14587" max="14587" width="40.7109375" style="443" customWidth="1"/>
    <col min="14588" max="14589" width="16.7109375" style="443" customWidth="1"/>
    <col min="14590" max="14590" width="2.7109375" style="443" customWidth="1"/>
    <col min="14591" max="14591" width="12.7109375" style="443" customWidth="1"/>
    <col min="14592" max="14592" width="23.28515625" style="443" customWidth="1"/>
    <col min="14593" max="14593" width="19.28515625" style="443" bestFit="1" customWidth="1"/>
    <col min="14594" max="14841" width="9.140625" style="443"/>
    <col min="14842" max="14842" width="2.7109375" style="443" customWidth="1"/>
    <col min="14843" max="14843" width="40.7109375" style="443" customWidth="1"/>
    <col min="14844" max="14845" width="16.7109375" style="443" customWidth="1"/>
    <col min="14846" max="14846" width="2.7109375" style="443" customWidth="1"/>
    <col min="14847" max="14847" width="12.7109375" style="443" customWidth="1"/>
    <col min="14848" max="14848" width="23.28515625" style="443" customWidth="1"/>
    <col min="14849" max="14849" width="19.28515625" style="443" bestFit="1" customWidth="1"/>
    <col min="14850" max="15097" width="9.140625" style="443"/>
    <col min="15098" max="15098" width="2.7109375" style="443" customWidth="1"/>
    <col min="15099" max="15099" width="40.7109375" style="443" customWidth="1"/>
    <col min="15100" max="15101" width="16.7109375" style="443" customWidth="1"/>
    <col min="15102" max="15102" width="2.7109375" style="443" customWidth="1"/>
    <col min="15103" max="15103" width="12.7109375" style="443" customWidth="1"/>
    <col min="15104" max="15104" width="23.28515625" style="443" customWidth="1"/>
    <col min="15105" max="15105" width="19.28515625" style="443" bestFit="1" customWidth="1"/>
    <col min="15106" max="15353" width="9.140625" style="443"/>
    <col min="15354" max="15354" width="2.7109375" style="443" customWidth="1"/>
    <col min="15355" max="15355" width="40.7109375" style="443" customWidth="1"/>
    <col min="15356" max="15357" width="16.7109375" style="443" customWidth="1"/>
    <col min="15358" max="15358" width="2.7109375" style="443" customWidth="1"/>
    <col min="15359" max="15359" width="12.7109375" style="443" customWidth="1"/>
    <col min="15360" max="15360" width="23.28515625" style="443" customWidth="1"/>
    <col min="15361" max="15361" width="19.28515625" style="443" bestFit="1" customWidth="1"/>
    <col min="15362" max="15609" width="9.140625" style="443"/>
    <col min="15610" max="15610" width="2.7109375" style="443" customWidth="1"/>
    <col min="15611" max="15611" width="40.7109375" style="443" customWidth="1"/>
    <col min="15612" max="15613" width="16.7109375" style="443" customWidth="1"/>
    <col min="15614" max="15614" width="2.7109375" style="443" customWidth="1"/>
    <col min="15615" max="15615" width="12.7109375" style="443" customWidth="1"/>
    <col min="15616" max="15616" width="23.28515625" style="443" customWidth="1"/>
    <col min="15617" max="15617" width="19.28515625" style="443" bestFit="1" customWidth="1"/>
    <col min="15618" max="15865" width="9.140625" style="443"/>
    <col min="15866" max="15866" width="2.7109375" style="443" customWidth="1"/>
    <col min="15867" max="15867" width="40.7109375" style="443" customWidth="1"/>
    <col min="15868" max="15869" width="16.7109375" style="443" customWidth="1"/>
    <col min="15870" max="15870" width="2.7109375" style="443" customWidth="1"/>
    <col min="15871" max="15871" width="12.7109375" style="443" customWidth="1"/>
    <col min="15872" max="15872" width="23.28515625" style="443" customWidth="1"/>
    <col min="15873" max="15873" width="19.28515625" style="443" bestFit="1" customWidth="1"/>
    <col min="15874" max="16121" width="9.140625" style="443"/>
    <col min="16122" max="16122" width="2.7109375" style="443" customWidth="1"/>
    <col min="16123" max="16123" width="40.7109375" style="443" customWidth="1"/>
    <col min="16124" max="16125" width="16.7109375" style="443" customWidth="1"/>
    <col min="16126" max="16126" width="2.7109375" style="443" customWidth="1"/>
    <col min="16127" max="16127" width="12.7109375" style="443" customWidth="1"/>
    <col min="16128" max="16128" width="23.28515625" style="443" customWidth="1"/>
    <col min="16129" max="16129" width="19.28515625" style="443" bestFit="1" customWidth="1"/>
    <col min="16130" max="16384" width="9.140625" style="443"/>
  </cols>
  <sheetData>
    <row r="1" spans="2:34" x14ac:dyDescent="0.2">
      <c r="B1" s="709"/>
      <c r="C1" s="709"/>
      <c r="D1" s="709"/>
      <c r="E1" s="442"/>
      <c r="F1" s="442"/>
      <c r="G1" s="442"/>
      <c r="H1" s="442"/>
      <c r="I1" s="442"/>
      <c r="J1" s="442"/>
      <c r="K1" s="442"/>
      <c r="L1" s="442"/>
      <c r="M1" s="442"/>
      <c r="N1" s="442"/>
      <c r="O1" s="442"/>
      <c r="P1" s="442"/>
      <c r="Q1" s="442"/>
      <c r="R1" s="442"/>
      <c r="S1" s="442"/>
      <c r="T1" s="442"/>
      <c r="U1" s="442"/>
      <c r="V1" s="442"/>
      <c r="X1" s="442"/>
      <c r="Y1" s="442"/>
      <c r="AA1" s="442"/>
      <c r="AB1" s="442"/>
      <c r="AD1" s="442"/>
      <c r="AE1" s="442"/>
      <c r="AG1" s="442"/>
      <c r="AH1" s="442"/>
    </row>
    <row r="2" spans="2:34" x14ac:dyDescent="0.2">
      <c r="B2" s="125" t="s">
        <v>7</v>
      </c>
      <c r="C2" s="125"/>
      <c r="D2" s="125"/>
      <c r="E2" s="125"/>
      <c r="F2" s="125"/>
      <c r="G2" s="125"/>
      <c r="H2" s="125"/>
      <c r="I2" s="125"/>
      <c r="J2" s="125"/>
      <c r="K2" s="125"/>
      <c r="L2" s="125"/>
      <c r="M2" s="125"/>
      <c r="N2" s="125"/>
      <c r="O2" s="125"/>
      <c r="P2" s="125"/>
      <c r="Q2" s="125"/>
      <c r="R2" s="125"/>
      <c r="S2" s="125"/>
      <c r="T2" s="125"/>
      <c r="U2" s="125"/>
      <c r="V2" s="125"/>
      <c r="W2" s="444"/>
      <c r="X2" s="125"/>
      <c r="Y2" s="125"/>
      <c r="Z2" s="444"/>
      <c r="AA2" s="125"/>
      <c r="AB2" s="125"/>
      <c r="AC2" s="444"/>
      <c r="AD2" s="125"/>
      <c r="AE2" s="125"/>
      <c r="AF2" s="444"/>
      <c r="AG2" s="125"/>
      <c r="AH2" s="125"/>
    </row>
    <row r="3" spans="2:34" x14ac:dyDescent="0.2">
      <c r="B3" s="125" t="s">
        <v>8</v>
      </c>
      <c r="C3" s="125"/>
      <c r="D3" s="125"/>
      <c r="E3" s="125"/>
      <c r="F3" s="125"/>
      <c r="G3" s="125"/>
      <c r="H3" s="125"/>
      <c r="I3" s="125"/>
      <c r="J3" s="125"/>
      <c r="K3" s="125"/>
      <c r="L3" s="125"/>
      <c r="M3" s="125"/>
      <c r="N3" s="125"/>
      <c r="O3" s="125"/>
      <c r="P3" s="125"/>
      <c r="Q3" s="125"/>
      <c r="R3" s="125"/>
      <c r="S3" s="125"/>
      <c r="T3" s="125"/>
      <c r="U3" s="125"/>
      <c r="V3" s="125"/>
      <c r="W3" s="444"/>
      <c r="X3" s="125"/>
      <c r="Y3" s="125"/>
      <c r="Z3" s="444"/>
      <c r="AA3" s="125"/>
      <c r="AB3" s="125"/>
      <c r="AC3" s="444"/>
      <c r="AD3" s="125"/>
      <c r="AE3" s="125"/>
      <c r="AF3" s="444"/>
      <c r="AG3" s="125"/>
      <c r="AH3" s="125"/>
    </row>
    <row r="4" spans="2:34" x14ac:dyDescent="0.2">
      <c r="B4" s="125" t="s">
        <v>238</v>
      </c>
      <c r="C4" s="125"/>
      <c r="D4" s="125"/>
      <c r="E4" s="125"/>
      <c r="F4" s="125"/>
      <c r="G4" s="125"/>
      <c r="H4" s="125"/>
      <c r="I4" s="125"/>
      <c r="J4" s="125"/>
      <c r="K4" s="125"/>
      <c r="L4" s="125"/>
      <c r="M4" s="125"/>
      <c r="N4" s="125"/>
      <c r="O4" s="125"/>
      <c r="P4" s="125"/>
      <c r="Q4" s="125"/>
      <c r="R4" s="125"/>
      <c r="S4" s="125"/>
      <c r="T4" s="125"/>
      <c r="U4" s="125"/>
      <c r="V4" s="125"/>
      <c r="W4" s="444"/>
      <c r="X4" s="125"/>
      <c r="Y4" s="125"/>
      <c r="Z4" s="444"/>
      <c r="AA4" s="125"/>
      <c r="AB4" s="125"/>
      <c r="AC4" s="444"/>
      <c r="AD4" s="125"/>
      <c r="AE4" s="125"/>
      <c r="AF4" s="444"/>
      <c r="AG4" s="125"/>
      <c r="AH4" s="125"/>
    </row>
    <row r="5" spans="2:34" x14ac:dyDescent="0.2">
      <c r="B5" s="706"/>
      <c r="C5" s="706"/>
      <c r="D5" s="706"/>
      <c r="E5" s="446"/>
      <c r="F5" s="446"/>
      <c r="G5" s="446"/>
      <c r="H5" s="446"/>
      <c r="I5" s="446"/>
      <c r="J5" s="446"/>
      <c r="K5" s="446"/>
      <c r="L5" s="446"/>
      <c r="M5" s="446"/>
      <c r="N5" s="446"/>
      <c r="O5" s="446"/>
      <c r="P5" s="446"/>
      <c r="Q5" s="446"/>
      <c r="R5" s="446"/>
      <c r="S5" s="446"/>
      <c r="T5" s="446"/>
      <c r="U5" s="446"/>
      <c r="V5" s="446"/>
      <c r="X5" s="446"/>
      <c r="Y5" s="446"/>
      <c r="AA5" s="446"/>
      <c r="AB5" s="446"/>
      <c r="AD5" s="446"/>
      <c r="AE5" s="446"/>
      <c r="AG5" s="446"/>
      <c r="AH5" s="446"/>
    </row>
    <row r="6" spans="2:34" ht="15" customHeight="1" x14ac:dyDescent="0.2">
      <c r="B6" s="705" t="s">
        <v>25</v>
      </c>
      <c r="C6" s="705" t="s">
        <v>1</v>
      </c>
      <c r="D6" s="705" t="s">
        <v>0</v>
      </c>
      <c r="E6" s="447"/>
      <c r="F6" s="707" t="s">
        <v>241</v>
      </c>
      <c r="G6" s="707"/>
      <c r="H6" s="707"/>
      <c r="I6" s="707"/>
      <c r="J6" s="707"/>
      <c r="K6" s="707"/>
      <c r="L6" s="707"/>
      <c r="M6" s="707"/>
      <c r="N6" s="707"/>
      <c r="O6" s="707"/>
      <c r="P6" s="707"/>
      <c r="Q6" s="707"/>
      <c r="R6" s="707"/>
      <c r="S6" s="707"/>
      <c r="T6" s="447"/>
      <c r="U6" s="707" t="s">
        <v>240</v>
      </c>
      <c r="V6" s="707"/>
      <c r="W6" s="707"/>
      <c r="X6" s="707"/>
      <c r="Y6" s="707"/>
      <c r="Z6" s="707"/>
      <c r="AA6" s="707"/>
      <c r="AB6" s="707"/>
      <c r="AC6" s="707"/>
      <c r="AD6" s="707"/>
      <c r="AE6" s="707"/>
      <c r="AF6" s="707"/>
      <c r="AG6" s="707"/>
      <c r="AH6" s="707"/>
    </row>
    <row r="7" spans="2:34" ht="15" customHeight="1" x14ac:dyDescent="0.2">
      <c r="B7" s="708"/>
      <c r="C7" s="708"/>
      <c r="D7" s="708"/>
      <c r="E7" s="448"/>
      <c r="F7" s="705" t="s">
        <v>88</v>
      </c>
      <c r="G7" s="705"/>
      <c r="H7" s="449"/>
      <c r="I7" s="705" t="s">
        <v>91</v>
      </c>
      <c r="J7" s="705"/>
      <c r="K7" s="449"/>
      <c r="L7" s="705" t="s">
        <v>90</v>
      </c>
      <c r="M7" s="705"/>
      <c r="N7" s="449"/>
      <c r="O7" s="705" t="s">
        <v>89</v>
      </c>
      <c r="P7" s="705"/>
      <c r="Q7" s="449"/>
      <c r="R7" s="705" t="s">
        <v>92</v>
      </c>
      <c r="S7" s="705"/>
      <c r="T7" s="450"/>
      <c r="U7" s="705" t="s">
        <v>227</v>
      </c>
      <c r="V7" s="705"/>
      <c r="W7" s="451"/>
      <c r="X7" s="704" t="s">
        <v>228</v>
      </c>
      <c r="Y7" s="705"/>
      <c r="Z7" s="451"/>
      <c r="AA7" s="704" t="s">
        <v>229</v>
      </c>
      <c r="AB7" s="705"/>
      <c r="AC7" s="451"/>
      <c r="AD7" s="704" t="s">
        <v>230</v>
      </c>
      <c r="AE7" s="705"/>
      <c r="AF7" s="451"/>
      <c r="AG7" s="704" t="s">
        <v>231</v>
      </c>
      <c r="AH7" s="705"/>
    </row>
    <row r="8" spans="2:34" x14ac:dyDescent="0.2">
      <c r="B8" s="706"/>
      <c r="C8" s="706"/>
      <c r="D8" s="706"/>
      <c r="E8" s="452"/>
      <c r="F8" s="706"/>
      <c r="G8" s="706"/>
      <c r="H8" s="452"/>
      <c r="I8" s="706"/>
      <c r="J8" s="706"/>
      <c r="K8" s="452"/>
      <c r="L8" s="706"/>
      <c r="M8" s="706"/>
      <c r="N8" s="452"/>
      <c r="O8" s="706"/>
      <c r="P8" s="706"/>
      <c r="Q8" s="452"/>
      <c r="R8" s="706"/>
      <c r="S8" s="706"/>
      <c r="T8" s="452"/>
      <c r="U8" s="706"/>
      <c r="V8" s="706"/>
      <c r="W8" s="453"/>
      <c r="X8" s="706"/>
      <c r="Y8" s="706"/>
      <c r="Z8" s="453"/>
      <c r="AA8" s="706"/>
      <c r="AB8" s="706"/>
      <c r="AC8" s="453"/>
      <c r="AD8" s="706"/>
      <c r="AE8" s="706"/>
      <c r="AF8" s="453"/>
      <c r="AG8" s="706"/>
      <c r="AH8" s="706"/>
    </row>
    <row r="10" spans="2:34" x14ac:dyDescent="0.2">
      <c r="B10" s="200"/>
      <c r="C10" s="200"/>
      <c r="D10" s="202"/>
      <c r="F10" s="202"/>
      <c r="O10" s="454">
        <f>O14/10000</f>
        <v>3.65</v>
      </c>
    </row>
    <row r="11" spans="2:34" x14ac:dyDescent="0.2">
      <c r="B11" s="201" t="str">
        <f>'Collection - Downtown'!N11</f>
        <v>Gravity Sewer</v>
      </c>
      <c r="C11" s="202" t="str">
        <f>'Collection - Downtown'!O11</f>
        <v>L.F.</v>
      </c>
      <c r="D11" s="203">
        <f>'Collection - Downtown'!P11</f>
        <v>125</v>
      </c>
      <c r="E11" s="204"/>
      <c r="F11" s="480">
        <v>36500</v>
      </c>
      <c r="G11" s="204">
        <f>F11*$D11</f>
        <v>4562500</v>
      </c>
      <c r="H11" s="204"/>
      <c r="I11" s="205"/>
      <c r="J11" s="204"/>
      <c r="K11" s="204"/>
      <c r="L11" s="205"/>
      <c r="M11" s="204"/>
      <c r="N11" s="204"/>
      <c r="O11" s="205"/>
      <c r="P11" s="204"/>
      <c r="Q11" s="204"/>
      <c r="R11" s="205"/>
      <c r="S11" s="204"/>
      <c r="T11" s="204"/>
      <c r="U11" s="481">
        <v>15750</v>
      </c>
      <c r="V11" s="204">
        <f>U11*$D11</f>
        <v>1968750</v>
      </c>
      <c r="X11" s="205">
        <f>$U$11</f>
        <v>15750</v>
      </c>
      <c r="Y11" s="204">
        <f>X11*$D11</f>
        <v>1968750</v>
      </c>
      <c r="AA11" s="205">
        <f>$X$11</f>
        <v>15750</v>
      </c>
      <c r="AB11" s="204">
        <f>AA11*$D11</f>
        <v>1968750</v>
      </c>
      <c r="AD11" s="205">
        <f>$X$11</f>
        <v>15750</v>
      </c>
      <c r="AE11" s="204">
        <f>AD11*$D11</f>
        <v>1968750</v>
      </c>
      <c r="AG11" s="205">
        <f>$X$11</f>
        <v>15750</v>
      </c>
      <c r="AH11" s="204">
        <f>AG11*$D11</f>
        <v>1968750</v>
      </c>
    </row>
    <row r="12" spans="2:34" x14ac:dyDescent="0.2">
      <c r="B12" s="201" t="str">
        <f>'Collection - Downtown'!N10</f>
        <v>Force Main</v>
      </c>
      <c r="C12" s="202" t="str">
        <f>'Collection - Downtown'!O10</f>
        <v>L.F.</v>
      </c>
      <c r="D12" s="203">
        <f>'Collection - Downtown'!P10</f>
        <v>120</v>
      </c>
      <c r="E12" s="204"/>
      <c r="F12" s="480">
        <v>26250</v>
      </c>
      <c r="G12" s="204">
        <f t="shared" ref="G12:G21" si="0">F12*$D12</f>
        <v>3150000</v>
      </c>
      <c r="H12" s="204"/>
      <c r="I12" s="481">
        <v>26250</v>
      </c>
      <c r="J12" s="204">
        <f t="shared" ref="J12:J19" si="1">I12*$D12</f>
        <v>3150000</v>
      </c>
      <c r="K12" s="204"/>
      <c r="L12" s="481">
        <v>11250</v>
      </c>
      <c r="M12" s="204">
        <f t="shared" ref="M12:M22" si="2">L12*$D12</f>
        <v>1350000</v>
      </c>
      <c r="N12" s="204"/>
      <c r="O12" s="481">
        <v>18000</v>
      </c>
      <c r="P12" s="204">
        <f t="shared" ref="P12:P23" si="3">O12*$D12</f>
        <v>2160000</v>
      </c>
      <c r="Q12" s="204"/>
      <c r="R12" s="481">
        <v>11250</v>
      </c>
      <c r="S12" s="204">
        <f t="shared" ref="S12:S19" si="4">R12*$D12</f>
        <v>1350000</v>
      </c>
      <c r="T12" s="204"/>
      <c r="U12" s="481">
        <v>11250</v>
      </c>
      <c r="V12" s="204">
        <f t="shared" ref="V12:V22" si="5">U12*$D12</f>
        <v>1350000</v>
      </c>
      <c r="X12" s="205">
        <f>$U$12</f>
        <v>11250</v>
      </c>
      <c r="Y12" s="204">
        <f t="shared" ref="Y12:Y24" si="6">X12*$D12</f>
        <v>1350000</v>
      </c>
      <c r="AA12" s="205">
        <f>$X$12</f>
        <v>11250</v>
      </c>
      <c r="AB12" s="204">
        <f t="shared" ref="AB12:AB21" si="7">AA12*$D12</f>
        <v>1350000</v>
      </c>
      <c r="AD12" s="205">
        <f>$X$12</f>
        <v>11250</v>
      </c>
      <c r="AE12" s="204">
        <f>AD12*$D12</f>
        <v>1350000</v>
      </c>
      <c r="AG12" s="205">
        <f>$X$12</f>
        <v>11250</v>
      </c>
      <c r="AH12" s="204">
        <f t="shared" ref="AH12:AH21" si="8">AG12*$D12</f>
        <v>1350000</v>
      </c>
    </row>
    <row r="13" spans="2:34" x14ac:dyDescent="0.2">
      <c r="B13" s="201" t="str">
        <f>'Collection - Downtown'!N13</f>
        <v>Low Pressure Sewer</v>
      </c>
      <c r="C13" s="202" t="str">
        <f>'Collection - Downtown'!O13</f>
        <v>L.F.</v>
      </c>
      <c r="D13" s="203">
        <f>'Collection - Downtown'!P13</f>
        <v>100</v>
      </c>
      <c r="E13" s="204"/>
      <c r="F13" s="205"/>
      <c r="G13" s="204"/>
      <c r="H13" s="204"/>
      <c r="I13" s="205"/>
      <c r="J13" s="204"/>
      <c r="K13" s="204"/>
      <c r="L13" s="481">
        <v>36500</v>
      </c>
      <c r="M13" s="204">
        <f t="shared" si="2"/>
        <v>3650000</v>
      </c>
      <c r="N13" s="204"/>
      <c r="O13" s="205"/>
      <c r="P13" s="204"/>
      <c r="Q13" s="204"/>
      <c r="R13" s="205"/>
      <c r="S13" s="204"/>
      <c r="T13" s="204"/>
      <c r="U13" s="481">
        <v>20750</v>
      </c>
      <c r="V13" s="204">
        <f t="shared" si="5"/>
        <v>2075000</v>
      </c>
      <c r="X13" s="205"/>
      <c r="Y13" s="204"/>
      <c r="AA13" s="205"/>
      <c r="AB13" s="204"/>
      <c r="AD13" s="205"/>
      <c r="AE13" s="204"/>
      <c r="AG13" s="205"/>
      <c r="AH13" s="204"/>
    </row>
    <row r="14" spans="2:34" x14ac:dyDescent="0.2">
      <c r="B14" s="201" t="str">
        <f>'Collection - Downtown'!N21</f>
        <v>Vacuum Sewer</v>
      </c>
      <c r="C14" s="202" t="str">
        <f>'Collection - Downtown'!O21</f>
        <v>L.F.</v>
      </c>
      <c r="D14" s="203">
        <f>'Collection - Downtown'!P21</f>
        <v>110</v>
      </c>
      <c r="E14" s="204"/>
      <c r="F14" s="205"/>
      <c r="G14" s="204"/>
      <c r="H14" s="204"/>
      <c r="I14" s="205"/>
      <c r="J14" s="204"/>
      <c r="K14" s="204"/>
      <c r="L14" s="205"/>
      <c r="M14" s="204"/>
      <c r="N14" s="204"/>
      <c r="O14" s="481">
        <v>36500</v>
      </c>
      <c r="P14" s="204">
        <f t="shared" si="3"/>
        <v>4015000</v>
      </c>
      <c r="Q14" s="204"/>
      <c r="R14" s="205"/>
      <c r="S14" s="204"/>
      <c r="T14" s="204"/>
      <c r="U14" s="205"/>
      <c r="V14" s="204"/>
      <c r="X14" s="205"/>
      <c r="Y14" s="204"/>
      <c r="AA14" s="205"/>
      <c r="AB14" s="204"/>
      <c r="AD14" s="205"/>
      <c r="AE14" s="204"/>
      <c r="AG14" s="205"/>
      <c r="AH14" s="204"/>
    </row>
    <row r="15" spans="2:34" x14ac:dyDescent="0.2">
      <c r="B15" s="201" t="str">
        <f>'Collection - Downtown'!N18</f>
        <v>STEP Force Main</v>
      </c>
      <c r="C15" s="202" t="str">
        <f>'Collection - Downtown'!O18</f>
        <v>L.F.</v>
      </c>
      <c r="D15" s="203">
        <f>'Collection - Downtown'!P18</f>
        <v>100</v>
      </c>
      <c r="E15" s="204"/>
      <c r="F15" s="205"/>
      <c r="G15" s="204"/>
      <c r="H15" s="204"/>
      <c r="I15" s="205"/>
      <c r="J15" s="204"/>
      <c r="K15" s="204"/>
      <c r="L15" s="205"/>
      <c r="M15" s="204"/>
      <c r="N15" s="204"/>
      <c r="O15" s="205"/>
      <c r="P15" s="204"/>
      <c r="Q15" s="204"/>
      <c r="R15" s="206">
        <v>36500</v>
      </c>
      <c r="S15" s="204">
        <f t="shared" si="4"/>
        <v>3650000</v>
      </c>
      <c r="T15" s="204"/>
      <c r="U15" s="205"/>
      <c r="V15" s="204"/>
      <c r="X15" s="205">
        <f>U13</f>
        <v>20750</v>
      </c>
      <c r="Y15" s="204">
        <f t="shared" si="6"/>
        <v>2075000</v>
      </c>
      <c r="AA15" s="205">
        <f>$X$15</f>
        <v>20750</v>
      </c>
      <c r="AB15" s="204">
        <f t="shared" si="7"/>
        <v>2075000</v>
      </c>
      <c r="AD15" s="205">
        <f>$X$15</f>
        <v>20750</v>
      </c>
      <c r="AE15" s="204">
        <f t="shared" ref="AE15:AE21" si="9">AD15*$D15</f>
        <v>2075000</v>
      </c>
      <c r="AG15" s="205">
        <f>$X$15</f>
        <v>20750</v>
      </c>
      <c r="AH15" s="204">
        <f t="shared" si="8"/>
        <v>2075000</v>
      </c>
    </row>
    <row r="16" spans="2:34" x14ac:dyDescent="0.2">
      <c r="B16" s="201" t="str">
        <f>'Collection - Downtown'!N16</f>
        <v>STEG Sewer</v>
      </c>
      <c r="C16" s="202" t="str">
        <f>'Collection - Downtown'!O16</f>
        <v>L.F.</v>
      </c>
      <c r="D16" s="203">
        <f>'Collection - Downtown'!P16</f>
        <v>125</v>
      </c>
      <c r="E16" s="115"/>
      <c r="F16" s="205"/>
      <c r="G16" s="204"/>
      <c r="H16" s="204"/>
      <c r="I16" s="481">
        <v>36500</v>
      </c>
      <c r="J16" s="204">
        <f t="shared" si="1"/>
        <v>4562500</v>
      </c>
      <c r="K16" s="204"/>
      <c r="L16" s="205"/>
      <c r="M16" s="204"/>
      <c r="N16" s="204"/>
      <c r="O16" s="205"/>
      <c r="P16" s="204"/>
      <c r="Q16" s="204"/>
      <c r="R16" s="205"/>
      <c r="S16" s="204"/>
      <c r="T16" s="204"/>
      <c r="U16" s="205"/>
      <c r="V16" s="204"/>
      <c r="X16" s="205"/>
      <c r="Y16" s="204"/>
      <c r="AA16" s="205"/>
      <c r="AB16" s="204"/>
      <c r="AD16" s="205"/>
      <c r="AE16" s="204"/>
      <c r="AG16" s="205"/>
      <c r="AH16" s="204"/>
    </row>
    <row r="17" spans="1:40" x14ac:dyDescent="0.2">
      <c r="B17" s="201" t="str">
        <f>'Collection - Downtown'!N19</f>
        <v>Submersible Pump Station</v>
      </c>
      <c r="C17" s="202" t="str">
        <f>'Collection - Downtown'!O19</f>
        <v>Each</v>
      </c>
      <c r="D17" s="207">
        <f>'Collection - Downtown'!P19</f>
        <v>275000</v>
      </c>
      <c r="E17" s="204"/>
      <c r="F17" s="480">
        <v>10</v>
      </c>
      <c r="G17" s="204">
        <f t="shared" si="0"/>
        <v>2750000</v>
      </c>
      <c r="H17" s="204"/>
      <c r="I17" s="481">
        <v>10</v>
      </c>
      <c r="J17" s="204">
        <f t="shared" si="1"/>
        <v>2750000</v>
      </c>
      <c r="K17" s="204"/>
      <c r="L17" s="205"/>
      <c r="M17" s="204"/>
      <c r="N17" s="204"/>
      <c r="O17" s="205"/>
      <c r="P17" s="204"/>
      <c r="Q17" s="204"/>
      <c r="R17" s="205"/>
      <c r="S17" s="204"/>
      <c r="T17" s="204"/>
      <c r="U17" s="205"/>
      <c r="V17" s="204"/>
      <c r="X17" s="205"/>
      <c r="Y17" s="204"/>
      <c r="AA17" s="205"/>
      <c r="AB17" s="204"/>
      <c r="AD17" s="205"/>
      <c r="AE17" s="204"/>
      <c r="AG17" s="205"/>
      <c r="AH17" s="204"/>
    </row>
    <row r="18" spans="1:40" x14ac:dyDescent="0.2">
      <c r="B18" s="201" t="str">
        <f>'Collection - Downtown'!N23</f>
        <v>Wet Pit /Dry Pit Pump Station</v>
      </c>
      <c r="C18" s="208" t="str">
        <f>'Collection - Downtown'!O23</f>
        <v>Each</v>
      </c>
      <c r="D18" s="209">
        <f>'Collection - Downtown'!P23</f>
        <v>470000</v>
      </c>
      <c r="E18" s="204"/>
      <c r="F18" s="205"/>
      <c r="G18" s="204"/>
      <c r="H18" s="204"/>
      <c r="I18" s="205"/>
      <c r="J18" s="204"/>
      <c r="K18" s="204"/>
      <c r="L18" s="205"/>
      <c r="M18" s="204"/>
      <c r="N18" s="204"/>
      <c r="O18" s="205"/>
      <c r="P18" s="204"/>
      <c r="Q18" s="204"/>
      <c r="R18" s="205"/>
      <c r="S18" s="204"/>
      <c r="T18" s="204"/>
      <c r="U18" s="205"/>
      <c r="V18" s="204"/>
      <c r="X18" s="205"/>
      <c r="Y18" s="204"/>
      <c r="AA18" s="205"/>
      <c r="AB18" s="204"/>
      <c r="AD18" s="205"/>
      <c r="AE18" s="204"/>
      <c r="AG18" s="205"/>
      <c r="AH18" s="204"/>
    </row>
    <row r="19" spans="1:40" x14ac:dyDescent="0.2">
      <c r="B19" s="201" t="str">
        <f>'Collection - Downtown'!N9</f>
        <v>Custom Pump Station</v>
      </c>
      <c r="C19" s="202" t="str">
        <f>'Collection - Downtown'!O9</f>
        <v>Each</v>
      </c>
      <c r="D19" s="203">
        <f>'Collection - Downtown'!P9</f>
        <v>585000</v>
      </c>
      <c r="E19" s="204"/>
      <c r="F19" s="480">
        <v>1</v>
      </c>
      <c r="G19" s="204">
        <f t="shared" si="0"/>
        <v>585000</v>
      </c>
      <c r="H19" s="204"/>
      <c r="I19" s="481">
        <v>1</v>
      </c>
      <c r="J19" s="204">
        <f t="shared" si="1"/>
        <v>585000</v>
      </c>
      <c r="K19" s="204"/>
      <c r="L19" s="481">
        <v>1</v>
      </c>
      <c r="M19" s="204">
        <f t="shared" si="2"/>
        <v>585000</v>
      </c>
      <c r="N19" s="204"/>
      <c r="O19" s="205"/>
      <c r="P19" s="204"/>
      <c r="Q19" s="204"/>
      <c r="R19" s="481">
        <v>1</v>
      </c>
      <c r="S19" s="204">
        <f t="shared" si="4"/>
        <v>585000</v>
      </c>
      <c r="T19" s="204"/>
      <c r="U19" s="481">
        <v>1</v>
      </c>
      <c r="V19" s="204">
        <f t="shared" si="5"/>
        <v>585000</v>
      </c>
      <c r="X19" s="205">
        <f>$U$19</f>
        <v>1</v>
      </c>
      <c r="Y19" s="204">
        <f t="shared" si="6"/>
        <v>585000</v>
      </c>
      <c r="AA19" s="205">
        <f>$X$19</f>
        <v>1</v>
      </c>
      <c r="AB19" s="204">
        <f t="shared" si="7"/>
        <v>585000</v>
      </c>
      <c r="AD19" s="205">
        <f>$X$19</f>
        <v>1</v>
      </c>
      <c r="AE19" s="204">
        <f t="shared" si="9"/>
        <v>585000</v>
      </c>
      <c r="AG19" s="205">
        <f>$X$19</f>
        <v>1</v>
      </c>
      <c r="AH19" s="204">
        <f t="shared" si="8"/>
        <v>585000</v>
      </c>
    </row>
    <row r="20" spans="1:40" x14ac:dyDescent="0.2">
      <c r="B20" s="201" t="str">
        <f>'Collection - Downtown'!N20</f>
        <v>Vacuum Pump Station</v>
      </c>
      <c r="C20" s="202" t="str">
        <f>'Collection - Downtown'!O20</f>
        <v>Each</v>
      </c>
      <c r="D20" s="203">
        <f>'Collection - Downtown'!P20</f>
        <v>860000</v>
      </c>
      <c r="E20" s="204"/>
      <c r="F20" s="205"/>
      <c r="G20" s="204"/>
      <c r="H20" s="204"/>
      <c r="I20" s="205"/>
      <c r="J20" s="204"/>
      <c r="K20" s="204"/>
      <c r="L20" s="205"/>
      <c r="M20" s="204"/>
      <c r="N20" s="204"/>
      <c r="O20" s="481">
        <v>8</v>
      </c>
      <c r="P20" s="204">
        <f t="shared" si="3"/>
        <v>6880000</v>
      </c>
      <c r="Q20" s="204"/>
      <c r="R20" s="205"/>
      <c r="S20" s="204"/>
      <c r="T20" s="204"/>
      <c r="U20" s="205"/>
      <c r="V20" s="204"/>
      <c r="X20" s="205"/>
      <c r="Y20" s="204"/>
      <c r="AA20" s="205"/>
      <c r="AB20" s="204"/>
      <c r="AD20" s="205"/>
      <c r="AE20" s="204"/>
      <c r="AG20" s="205"/>
      <c r="AH20" s="204"/>
    </row>
    <row r="21" spans="1:40" x14ac:dyDescent="0.2">
      <c r="B21" s="201" t="str">
        <f>'Collection - Downtown'!N12</f>
        <v>Gravity Sewer - Private Property</v>
      </c>
      <c r="C21" s="202" t="str">
        <f>'Collection - Downtown'!O12</f>
        <v>Each</v>
      </c>
      <c r="D21" s="203">
        <f>'Collection - Downtown'!P12</f>
        <v>7800</v>
      </c>
      <c r="E21" s="204"/>
      <c r="F21" s="480">
        <v>372</v>
      </c>
      <c r="G21" s="204">
        <f t="shared" si="0"/>
        <v>2901600</v>
      </c>
      <c r="H21" s="204"/>
      <c r="I21" s="205"/>
      <c r="J21" s="204"/>
      <c r="K21" s="204"/>
      <c r="L21" s="205"/>
      <c r="M21" s="204"/>
      <c r="N21" s="204"/>
      <c r="O21" s="205"/>
      <c r="P21" s="204"/>
      <c r="Q21" s="204"/>
      <c r="R21" s="205"/>
      <c r="S21" s="204"/>
      <c r="T21" s="204"/>
      <c r="U21" s="481">
        <v>173</v>
      </c>
      <c r="V21" s="204">
        <f t="shared" si="5"/>
        <v>1349400</v>
      </c>
      <c r="X21" s="205">
        <f>U$21</f>
        <v>173</v>
      </c>
      <c r="Y21" s="204">
        <f t="shared" si="6"/>
        <v>1349400</v>
      </c>
      <c r="AA21" s="205">
        <f>$X$21</f>
        <v>173</v>
      </c>
      <c r="AB21" s="204">
        <f t="shared" si="7"/>
        <v>1349400</v>
      </c>
      <c r="AD21" s="205">
        <f>$X$21</f>
        <v>173</v>
      </c>
      <c r="AE21" s="204">
        <f t="shared" si="9"/>
        <v>1349400</v>
      </c>
      <c r="AG21" s="205">
        <f>$X$21</f>
        <v>173</v>
      </c>
      <c r="AH21" s="204">
        <f t="shared" si="8"/>
        <v>1349400</v>
      </c>
    </row>
    <row r="22" spans="1:40" x14ac:dyDescent="0.2">
      <c r="B22" s="201" t="str">
        <f>'Collection - Downtown'!N14</f>
        <v>Low Pressure Sewer - Private Property</v>
      </c>
      <c r="C22" s="202" t="str">
        <f>'Collection - Downtown'!O14</f>
        <v>Each</v>
      </c>
      <c r="D22" s="203">
        <f>'Collection - Downtown'!P14</f>
        <v>12000</v>
      </c>
      <c r="E22" s="204"/>
      <c r="F22" s="205"/>
      <c r="G22" s="204"/>
      <c r="H22" s="204"/>
      <c r="I22" s="205"/>
      <c r="J22" s="204"/>
      <c r="K22" s="204"/>
      <c r="L22" s="481">
        <f>F21</f>
        <v>372</v>
      </c>
      <c r="M22" s="204">
        <f t="shared" si="2"/>
        <v>4464000</v>
      </c>
      <c r="N22" s="204"/>
      <c r="O22" s="205"/>
      <c r="P22" s="204"/>
      <c r="Q22" s="204"/>
      <c r="R22" s="205"/>
      <c r="S22" s="204"/>
      <c r="T22" s="204"/>
      <c r="U22" s="205">
        <f>F21-U21</f>
        <v>199</v>
      </c>
      <c r="V22" s="204">
        <f t="shared" si="5"/>
        <v>2388000</v>
      </c>
      <c r="X22" s="205"/>
      <c r="Y22" s="204"/>
      <c r="AA22" s="205"/>
      <c r="AB22" s="204"/>
      <c r="AD22" s="205"/>
      <c r="AE22" s="204"/>
      <c r="AG22" s="205"/>
      <c r="AH22" s="204"/>
      <c r="AK22" s="455">
        <v>0.25</v>
      </c>
      <c r="AL22" s="455">
        <v>0.5</v>
      </c>
      <c r="AM22" s="455">
        <v>0.75</v>
      </c>
      <c r="AN22" s="455">
        <v>1</v>
      </c>
    </row>
    <row r="23" spans="1:40" x14ac:dyDescent="0.2">
      <c r="B23" s="201" t="str">
        <f>'Collection - Downtown'!N22</f>
        <v>Vacuum Sewer - Private Property</v>
      </c>
      <c r="C23" s="208" t="str">
        <f>'Collection - Downtown'!O22</f>
        <v>Each</v>
      </c>
      <c r="D23" s="209">
        <f>'Collection - Downtown'!P22</f>
        <v>10250</v>
      </c>
      <c r="E23" s="204"/>
      <c r="F23" s="205"/>
      <c r="G23" s="204"/>
      <c r="H23" s="204"/>
      <c r="I23" s="205"/>
      <c r="J23" s="204"/>
      <c r="K23" s="204"/>
      <c r="L23" s="205"/>
      <c r="M23" s="204"/>
      <c r="N23" s="204"/>
      <c r="O23" s="481">
        <f>F21</f>
        <v>372</v>
      </c>
      <c r="P23" s="204">
        <f t="shared" si="3"/>
        <v>3813000</v>
      </c>
      <c r="Q23" s="204"/>
      <c r="R23" s="205"/>
      <c r="S23" s="204"/>
      <c r="T23" s="204"/>
      <c r="U23" s="205"/>
      <c r="V23" s="204"/>
      <c r="X23" s="205"/>
      <c r="Y23" s="204"/>
      <c r="AA23" s="205"/>
      <c r="AB23" s="204"/>
      <c r="AD23" s="205"/>
      <c r="AE23" s="204"/>
      <c r="AG23" s="205"/>
      <c r="AH23" s="204"/>
      <c r="AK23" s="103">
        <f>75*75</f>
        <v>5625</v>
      </c>
      <c r="AL23" s="103">
        <f>AK23</f>
        <v>5625</v>
      </c>
      <c r="AM23" s="103">
        <f>AK23</f>
        <v>5625</v>
      </c>
      <c r="AN23" s="103">
        <f>AK23</f>
        <v>5625</v>
      </c>
    </row>
    <row r="24" spans="1:40" x14ac:dyDescent="0.2">
      <c r="B24" s="201" t="str">
        <f>'Collection - Downtown'!N17</f>
        <v>STEP - Private Property</v>
      </c>
      <c r="C24" s="202" t="str">
        <f>'Collection - Downtown'!O17</f>
        <v>Each</v>
      </c>
      <c r="D24" s="203">
        <f>'Collection - Downtown'!P17</f>
        <v>10750</v>
      </c>
      <c r="E24" s="204"/>
      <c r="F24" s="205"/>
      <c r="G24" s="204"/>
      <c r="H24" s="204"/>
      <c r="I24" s="205"/>
      <c r="J24" s="204"/>
      <c r="K24" s="204"/>
      <c r="L24" s="205"/>
      <c r="M24" s="204"/>
      <c r="N24" s="204"/>
      <c r="O24" s="205"/>
      <c r="P24" s="204"/>
      <c r="Q24" s="204"/>
      <c r="R24" s="481">
        <f>F21</f>
        <v>372</v>
      </c>
      <c r="S24" s="204">
        <f>R24*$D24+(R24*AN30)</f>
        <v>4836000</v>
      </c>
      <c r="T24" s="204"/>
      <c r="U24" s="205"/>
      <c r="V24" s="204"/>
      <c r="X24" s="205">
        <f>$U$22</f>
        <v>199</v>
      </c>
      <c r="Y24" s="204">
        <f t="shared" si="6"/>
        <v>2139250</v>
      </c>
      <c r="AA24" s="205">
        <f>$X$24</f>
        <v>199</v>
      </c>
      <c r="AB24" s="204">
        <f>(AA24*$D24)+(AA24*AL30)</f>
        <v>2288500</v>
      </c>
      <c r="AD24" s="205">
        <f>$X$24</f>
        <v>199</v>
      </c>
      <c r="AE24" s="204">
        <f>(AD24*$D24)+(AD24*AM30)</f>
        <v>2427800</v>
      </c>
      <c r="AG24" s="205">
        <f>$X$24</f>
        <v>199</v>
      </c>
      <c r="AH24" s="204">
        <f>(AG24*$D24)+(AG24*AN30)</f>
        <v>2587000</v>
      </c>
      <c r="AK24" s="103">
        <v>2500</v>
      </c>
      <c r="AL24" s="103">
        <f t="shared" ref="AL24:AL25" si="10">AK24</f>
        <v>2500</v>
      </c>
      <c r="AM24" s="103">
        <f t="shared" ref="AM24:AM25" si="11">AK24</f>
        <v>2500</v>
      </c>
      <c r="AN24" s="103">
        <f t="shared" ref="AN24:AN25" si="12">AK24</f>
        <v>2500</v>
      </c>
    </row>
    <row r="25" spans="1:40" x14ac:dyDescent="0.2">
      <c r="B25" s="201" t="str">
        <f>'Collection - Downtown'!N15</f>
        <v>STEG - Private Property</v>
      </c>
      <c r="C25" s="202" t="str">
        <f>'Collection - Downtown'!O15</f>
        <v>Each</v>
      </c>
      <c r="D25" s="203">
        <f>'Collection - Downtown'!P15</f>
        <v>7800</v>
      </c>
      <c r="E25" s="204"/>
      <c r="F25" s="205"/>
      <c r="G25" s="204"/>
      <c r="H25" s="204"/>
      <c r="I25" s="481">
        <f>F21</f>
        <v>372</v>
      </c>
      <c r="J25" s="204">
        <f>I25*$D25+(I25*AN30)</f>
        <v>3738600</v>
      </c>
      <c r="K25" s="204"/>
      <c r="L25" s="205"/>
      <c r="M25" s="204"/>
      <c r="N25" s="204"/>
      <c r="O25" s="205"/>
      <c r="P25" s="204"/>
      <c r="Q25" s="204"/>
      <c r="R25" s="205"/>
      <c r="S25" s="204"/>
      <c r="T25" s="204"/>
      <c r="U25" s="205"/>
      <c r="V25" s="204"/>
      <c r="X25" s="205"/>
      <c r="Y25" s="204"/>
      <c r="AA25" s="205"/>
      <c r="AB25" s="204"/>
      <c r="AD25" s="205"/>
      <c r="AE25" s="204"/>
      <c r="AG25" s="205"/>
      <c r="AH25" s="204"/>
      <c r="AK25" s="103">
        <v>2000</v>
      </c>
      <c r="AL25" s="103">
        <f t="shared" si="10"/>
        <v>2000</v>
      </c>
      <c r="AM25" s="103">
        <f t="shared" si="11"/>
        <v>2000</v>
      </c>
      <c r="AN25" s="103">
        <f t="shared" si="12"/>
        <v>2000</v>
      </c>
    </row>
    <row r="26" spans="1:40" x14ac:dyDescent="0.2">
      <c r="B26" s="210"/>
      <c r="AK26" s="103">
        <f>2500+1000</f>
        <v>3500</v>
      </c>
      <c r="AL26" s="103">
        <f>2500+2000</f>
        <v>4500</v>
      </c>
      <c r="AM26" s="103">
        <f>2500+3000</f>
        <v>5500</v>
      </c>
      <c r="AN26" s="103">
        <f>2500+4000</f>
        <v>6500</v>
      </c>
    </row>
    <row r="27" spans="1:40" s="103" customFormat="1" x14ac:dyDescent="0.2">
      <c r="A27" s="456"/>
      <c r="B27" s="456"/>
      <c r="C27" s="457" t="s">
        <v>3</v>
      </c>
      <c r="D27" s="458"/>
      <c r="G27" s="459">
        <f>SUM(G11:G25)</f>
        <v>13949100</v>
      </c>
      <c r="H27" s="456"/>
      <c r="I27" s="456"/>
      <c r="J27" s="459">
        <f>SUM(J11:J25)</f>
        <v>14786100</v>
      </c>
      <c r="M27" s="459">
        <f>SUM(M11:M25)</f>
        <v>10049000</v>
      </c>
      <c r="N27" s="456"/>
      <c r="O27" s="456"/>
      <c r="P27" s="459">
        <f>SUM(P11:P25)</f>
        <v>16868000</v>
      </c>
      <c r="S27" s="459">
        <f>SUM(S11:S25)</f>
        <v>10421000</v>
      </c>
      <c r="V27" s="459">
        <f>SUM(V11:V25)</f>
        <v>9716150</v>
      </c>
      <c r="Y27" s="459">
        <f>SUM(Y11:Y25)</f>
        <v>9467400</v>
      </c>
      <c r="AB27" s="459">
        <f>SUM(AB11:AB25)</f>
        <v>9616650</v>
      </c>
      <c r="AE27" s="459">
        <f>SUM(AE11:AE25)</f>
        <v>9755950</v>
      </c>
      <c r="AH27" s="459">
        <f>SUM(AH11:AH25)</f>
        <v>9915150</v>
      </c>
      <c r="AK27" s="460">
        <f>SUM(AK23:AK26)</f>
        <v>13625</v>
      </c>
      <c r="AL27" s="460">
        <f t="shared" ref="AL27:AN27" si="13">SUM(AL23:AL26)</f>
        <v>14625</v>
      </c>
      <c r="AM27" s="460">
        <f t="shared" si="13"/>
        <v>15625</v>
      </c>
      <c r="AN27" s="460">
        <f t="shared" si="13"/>
        <v>16625</v>
      </c>
    </row>
    <row r="28" spans="1:40" s="103" customFormat="1" x14ac:dyDescent="0.2">
      <c r="A28" s="456"/>
      <c r="B28" s="456"/>
      <c r="C28" s="457" t="s">
        <v>12</v>
      </c>
      <c r="D28" s="461">
        <v>0.05</v>
      </c>
      <c r="G28" s="111">
        <f>G27*$D$28</f>
        <v>697455</v>
      </c>
      <c r="H28" s="456"/>
      <c r="I28" s="456"/>
      <c r="J28" s="111">
        <f>J27*$D$28</f>
        <v>739305</v>
      </c>
      <c r="M28" s="111">
        <f>M27*$D$28</f>
        <v>502450</v>
      </c>
      <c r="N28" s="456"/>
      <c r="O28" s="456"/>
      <c r="P28" s="111">
        <f>P27*$D$28</f>
        <v>843400</v>
      </c>
      <c r="S28" s="111">
        <f>S27*$D$28</f>
        <v>521050</v>
      </c>
      <c r="V28" s="111">
        <f>V27*$D$28</f>
        <v>485807.5</v>
      </c>
      <c r="Y28" s="111">
        <f>Y27*$D$28</f>
        <v>473370</v>
      </c>
      <c r="AB28" s="111">
        <f>AB27*$D$28</f>
        <v>480832.5</v>
      </c>
      <c r="AE28" s="111">
        <f>AE27*$D$28</f>
        <v>487797.5</v>
      </c>
      <c r="AH28" s="111">
        <f>AH27*$D$28</f>
        <v>495757.5</v>
      </c>
      <c r="AK28" s="103">
        <f>AK27*0.78</f>
        <v>10627.5</v>
      </c>
      <c r="AL28" s="103">
        <f t="shared" ref="AL28:AN28" si="14">AL27*0.78</f>
        <v>11407.5</v>
      </c>
      <c r="AM28" s="103">
        <f t="shared" si="14"/>
        <v>12187.5</v>
      </c>
      <c r="AN28" s="103">
        <f t="shared" si="14"/>
        <v>12967.5</v>
      </c>
    </row>
    <row r="29" spans="1:40" s="103" customFormat="1" x14ac:dyDescent="0.2">
      <c r="A29" s="456"/>
      <c r="B29" s="456"/>
      <c r="C29" s="457" t="s">
        <v>3</v>
      </c>
      <c r="D29" s="461"/>
      <c r="G29" s="459">
        <f>SUM(G27:G28)</f>
        <v>14646555</v>
      </c>
      <c r="H29" s="456"/>
      <c r="I29" s="456"/>
      <c r="J29" s="459">
        <f>SUM(J27:J28)</f>
        <v>15525405</v>
      </c>
      <c r="M29" s="459">
        <f>SUM(M27:M28)</f>
        <v>10551450</v>
      </c>
      <c r="N29" s="456"/>
      <c r="O29" s="456"/>
      <c r="P29" s="459">
        <f>SUM(P27:P28)</f>
        <v>17711400</v>
      </c>
      <c r="S29" s="459">
        <f>SUM(S27:S28)</f>
        <v>10942050</v>
      </c>
      <c r="V29" s="459">
        <f>SUM(V27:V28)</f>
        <v>10201957.5</v>
      </c>
      <c r="Y29" s="459">
        <f>SUM(Y27:Y28)</f>
        <v>9940770</v>
      </c>
      <c r="AB29" s="459">
        <f>SUM(AB27:AB28)</f>
        <v>10097482.5</v>
      </c>
      <c r="AE29" s="459">
        <f>SUM(AE27:AE28)</f>
        <v>10243747.5</v>
      </c>
      <c r="AH29" s="459">
        <f>SUM(AH27:AH28)</f>
        <v>10410907.5</v>
      </c>
      <c r="AK29" s="103">
        <v>10750</v>
      </c>
      <c r="AL29" s="103">
        <v>11500</v>
      </c>
      <c r="AM29" s="103">
        <v>12200</v>
      </c>
      <c r="AN29" s="103">
        <v>13000</v>
      </c>
    </row>
    <row r="30" spans="1:40" s="103" customFormat="1" x14ac:dyDescent="0.2">
      <c r="A30" s="456"/>
      <c r="B30" s="456"/>
      <c r="C30" s="462" t="str">
        <f>Assumptions!$B$10</f>
        <v>Overhead and Profit</v>
      </c>
      <c r="D30" s="461">
        <f>Assumptions!$C$10</f>
        <v>0.22</v>
      </c>
      <c r="G30" s="101">
        <f>+MROUND(G29*$D30,100)</f>
        <v>3222200</v>
      </c>
      <c r="H30" s="456"/>
      <c r="I30" s="456"/>
      <c r="J30" s="101">
        <f>+MROUND(J29*$D30,100)</f>
        <v>3415600</v>
      </c>
      <c r="M30" s="101">
        <f>+MROUND(M29*$D30,100)</f>
        <v>2321300</v>
      </c>
      <c r="N30" s="443"/>
      <c r="O30" s="443"/>
      <c r="P30" s="101">
        <f>+MROUND(P29*$D30,100)</f>
        <v>3896500</v>
      </c>
      <c r="S30" s="101">
        <f>+MROUND(S29*$D30,100)</f>
        <v>2407300</v>
      </c>
      <c r="V30" s="101">
        <f>+MROUND(V29*$D30,100)</f>
        <v>2244400</v>
      </c>
      <c r="Y30" s="101">
        <f>+MROUND(Y29*$D30,100)</f>
        <v>2187000</v>
      </c>
      <c r="AB30" s="101">
        <f>+MROUND(AB29*$D30,100)</f>
        <v>2221400</v>
      </c>
      <c r="AE30" s="101">
        <f>+MROUND(AE29*$D30,100)</f>
        <v>2253600</v>
      </c>
      <c r="AH30" s="101">
        <f>+MROUND(AH29*$D30,100)</f>
        <v>2290400</v>
      </c>
      <c r="AL30" s="103">
        <f>AL29-$AK$29</f>
        <v>750</v>
      </c>
      <c r="AM30" s="103">
        <f t="shared" ref="AM30:AN30" si="15">AM29-$AK$29</f>
        <v>1450</v>
      </c>
      <c r="AN30" s="103">
        <f t="shared" si="15"/>
        <v>2250</v>
      </c>
    </row>
    <row r="31" spans="1:40" s="103" customFormat="1" x14ac:dyDescent="0.2">
      <c r="A31" s="456"/>
      <c r="B31" s="456"/>
      <c r="C31" s="462" t="s">
        <v>3</v>
      </c>
      <c r="D31" s="463"/>
      <c r="G31" s="26">
        <f>SUM(G29:G30)</f>
        <v>17868755</v>
      </c>
      <c r="H31" s="456"/>
      <c r="I31" s="456"/>
      <c r="J31" s="26">
        <f>SUM(J29:J30)</f>
        <v>18941005</v>
      </c>
      <c r="M31" s="26">
        <f>SUM(M29:M30)</f>
        <v>12872750</v>
      </c>
      <c r="N31" s="443"/>
      <c r="O31" s="443"/>
      <c r="P31" s="26">
        <f>SUM(P29:P30)</f>
        <v>21607900</v>
      </c>
      <c r="S31" s="26">
        <f>SUM(S29:S30)</f>
        <v>13349350</v>
      </c>
      <c r="V31" s="26">
        <f>SUM(V29:V30)</f>
        <v>12446357.5</v>
      </c>
      <c r="Y31" s="26">
        <f>SUM(Y29:Y30)</f>
        <v>12127770</v>
      </c>
      <c r="AB31" s="26">
        <f>SUM(AB29:AB30)</f>
        <v>12318882.5</v>
      </c>
      <c r="AE31" s="26">
        <f>SUM(AE29:AE30)</f>
        <v>12497347.5</v>
      </c>
      <c r="AH31" s="26">
        <f>SUM(AH29:AH30)</f>
        <v>12701307.5</v>
      </c>
    </row>
    <row r="32" spans="1:40" s="103" customFormat="1" x14ac:dyDescent="0.2">
      <c r="A32" s="456"/>
      <c r="B32" s="456"/>
      <c r="C32" s="462" t="str">
        <f>Assumptions!$B$11</f>
        <v>Contingency</v>
      </c>
      <c r="D32" s="464">
        <f>Assumptions!$C$11</f>
        <v>0.25</v>
      </c>
      <c r="G32" s="111">
        <f>+MROUND((G31)*$D32,100)</f>
        <v>4467200</v>
      </c>
      <c r="H32" s="456"/>
      <c r="I32" s="456"/>
      <c r="J32" s="111">
        <f>+MROUND((J31)*$D32,100)</f>
        <v>4735300</v>
      </c>
      <c r="M32" s="111">
        <f>+MROUND((M31)*$D32,100)</f>
        <v>3218200</v>
      </c>
      <c r="N32" s="210"/>
      <c r="O32" s="210"/>
      <c r="P32" s="111">
        <f>+MROUND((P31)*$D32,100)</f>
        <v>5402000</v>
      </c>
      <c r="S32" s="111">
        <f>+MROUND((S31)*$D32,100)</f>
        <v>3337300</v>
      </c>
      <c r="V32" s="111">
        <f>+MROUND((V31)*$D32,100)</f>
        <v>3111600</v>
      </c>
      <c r="Y32" s="111">
        <f>+MROUND((Y31)*$D32,100)</f>
        <v>3031900</v>
      </c>
      <c r="AB32" s="111">
        <f>+MROUND((AB31)*$D32,100)</f>
        <v>3079700</v>
      </c>
      <c r="AE32" s="111">
        <f>+MROUND((AE31)*$D32,100)</f>
        <v>3124300</v>
      </c>
      <c r="AH32" s="111">
        <f>+MROUND((AH31)*$D32,100)</f>
        <v>3175300</v>
      </c>
    </row>
    <row r="33" spans="1:34" s="103" customFormat="1" x14ac:dyDescent="0.2">
      <c r="A33" s="456"/>
      <c r="B33" s="456"/>
      <c r="C33" s="462" t="s">
        <v>36</v>
      </c>
      <c r="D33" s="464"/>
      <c r="G33" s="459">
        <f>SUM(G31:G32)</f>
        <v>22335955</v>
      </c>
      <c r="H33" s="456"/>
      <c r="I33" s="456"/>
      <c r="J33" s="459">
        <f>SUM(J31:J32)</f>
        <v>23676305</v>
      </c>
      <c r="M33" s="459">
        <f>SUM(M31:M32)</f>
        <v>16090950</v>
      </c>
      <c r="N33" s="210"/>
      <c r="O33" s="210"/>
      <c r="P33" s="459">
        <f>SUM(P31:P32)</f>
        <v>27009900</v>
      </c>
      <c r="S33" s="459">
        <f>SUM(S31:S32)</f>
        <v>16686650</v>
      </c>
      <c r="V33" s="459">
        <f>SUM(V31:V32)</f>
        <v>15557957.5</v>
      </c>
      <c r="Y33" s="459">
        <f>SUM(Y31:Y32)</f>
        <v>15159670</v>
      </c>
      <c r="AB33" s="459">
        <f>SUM(AB31:AB32)</f>
        <v>15398582.5</v>
      </c>
      <c r="AE33" s="459">
        <f>SUM(AE31:AE32)</f>
        <v>15621647.5</v>
      </c>
      <c r="AH33" s="459">
        <f>SUM(AH31:AH32)</f>
        <v>15876607.5</v>
      </c>
    </row>
    <row r="34" spans="1:34" s="103" customFormat="1" x14ac:dyDescent="0.2">
      <c r="A34" s="456"/>
      <c r="B34" s="456"/>
      <c r="C34" s="462" t="str">
        <f>Assumptions!$B$12</f>
        <v>Town Administration and Engineering</v>
      </c>
      <c r="D34" s="464"/>
      <c r="G34" s="111"/>
      <c r="H34" s="456"/>
      <c r="I34" s="456"/>
      <c r="J34" s="111"/>
      <c r="M34" s="111"/>
      <c r="N34" s="210"/>
      <c r="O34" s="210"/>
      <c r="P34" s="111"/>
      <c r="S34" s="111"/>
      <c r="V34" s="111"/>
      <c r="Y34" s="111"/>
      <c r="AB34" s="111"/>
      <c r="AE34" s="111"/>
      <c r="AH34" s="111"/>
    </row>
    <row r="35" spans="1:34" s="103" customFormat="1" x14ac:dyDescent="0.2">
      <c r="A35" s="456"/>
      <c r="B35" s="456"/>
      <c r="C35" s="462" t="str">
        <f>Assumptions!$B$13</f>
        <v>Town Administration</v>
      </c>
      <c r="D35" s="464">
        <f>Assumptions!$C$13</f>
        <v>0.05</v>
      </c>
      <c r="G35" s="111">
        <f>+MROUND($D35*G$33,100)+((F17+F18+F19+F20)*$D$65)</f>
        <v>3316800</v>
      </c>
      <c r="H35" s="456"/>
      <c r="I35" s="456"/>
      <c r="J35" s="111">
        <f>+MROUND($D35*J$33,100)+((I17+I18+I19+I20)*$D$65)</f>
        <v>3383800</v>
      </c>
      <c r="M35" s="111">
        <f>+MROUND($D35*M$33,100)+((L17+L18+L19+L20)*$D$65)</f>
        <v>1004500</v>
      </c>
      <c r="N35" s="210"/>
      <c r="O35" s="210"/>
      <c r="P35" s="111">
        <f>+MROUND($D35*P$33,100)+((O17+O18+O19+O20)*$D$65)</f>
        <v>2950500</v>
      </c>
      <c r="S35" s="111">
        <f>+MROUND($D35*S$33,100)+((R17+R18+R19+R20)*$D$65)</f>
        <v>1034300</v>
      </c>
      <c r="V35" s="111">
        <f>+MROUND($D35*V$33,100)+((U17+U18+U19+U20)*$D$65)</f>
        <v>977900</v>
      </c>
      <c r="Y35" s="111">
        <f>+MROUND($D35*Y$33,100)+((X17+X18+X19+X20)*$D$65)</f>
        <v>958000</v>
      </c>
      <c r="AB35" s="111">
        <f>+MROUND($D35*AB$33,100)+((AA17+AA18+AA19+AA20)*$D$65)</f>
        <v>969900</v>
      </c>
      <c r="AE35" s="111">
        <f>+MROUND($D35*AE$33,100)+((AD17+AD18+AD19+AD20)*$D$65)</f>
        <v>981100</v>
      </c>
      <c r="AH35" s="111">
        <f>+MROUND($D35*AH$33,100)</f>
        <v>793800</v>
      </c>
    </row>
    <row r="36" spans="1:34" s="103" customFormat="1" x14ac:dyDescent="0.2">
      <c r="A36" s="456"/>
      <c r="B36" s="456"/>
      <c r="C36" s="462" t="str">
        <f>Assumptions!$B$14</f>
        <v>Engineering - Planning/Consultation</v>
      </c>
      <c r="D36" s="464">
        <f>Assumptions!$C$14</f>
        <v>0.05</v>
      </c>
      <c r="G36" s="111">
        <f t="shared" ref="G36:G38" si="16">+MROUND($D36*G$33,100)</f>
        <v>1116800</v>
      </c>
      <c r="H36" s="456"/>
      <c r="I36" s="456"/>
      <c r="J36" s="111">
        <f t="shared" ref="J36:J38" si="17">+MROUND($D36*J$33,100)</f>
        <v>1183800</v>
      </c>
      <c r="M36" s="111">
        <f t="shared" ref="M36:M38" si="18">+MROUND($D36*M$33,100)</f>
        <v>804500</v>
      </c>
      <c r="N36" s="210"/>
      <c r="O36" s="210"/>
      <c r="P36" s="111">
        <f t="shared" ref="P36:P38" si="19">+MROUND($D36*P$33,100)</f>
        <v>1350500</v>
      </c>
      <c r="S36" s="111">
        <f t="shared" ref="S36:S38" si="20">+MROUND($D36*S$33,100)</f>
        <v>834300</v>
      </c>
      <c r="V36" s="111">
        <f t="shared" ref="V36:V38" si="21">+MROUND($D36*V$33,100)</f>
        <v>777900</v>
      </c>
      <c r="Y36" s="111">
        <f t="shared" ref="Y36:Y38" si="22">+MROUND($D36*Y$33,100)</f>
        <v>758000</v>
      </c>
      <c r="AB36" s="111">
        <f t="shared" ref="AB36:AB38" si="23">+MROUND($D36*AB$33,100)</f>
        <v>769900</v>
      </c>
      <c r="AE36" s="111">
        <f t="shared" ref="AE36:AE38" si="24">+MROUND($D36*AE$33,100)</f>
        <v>781100</v>
      </c>
      <c r="AH36" s="111">
        <f t="shared" ref="AH36:AH38" si="25">+MROUND($D36*AH$33,100)</f>
        <v>793800</v>
      </c>
    </row>
    <row r="37" spans="1:34" s="103" customFormat="1" x14ac:dyDescent="0.2">
      <c r="A37" s="456"/>
      <c r="B37" s="456"/>
      <c r="C37" s="462" t="str">
        <f>Assumptions!$B$15</f>
        <v>Engineering - Design</v>
      </c>
      <c r="D37" s="464">
        <f>Assumptions!$C$15</f>
        <v>0.1</v>
      </c>
      <c r="G37" s="111">
        <f t="shared" si="16"/>
        <v>2233600</v>
      </c>
      <c r="H37" s="456"/>
      <c r="I37" s="456"/>
      <c r="J37" s="111">
        <f t="shared" si="17"/>
        <v>2367600</v>
      </c>
      <c r="M37" s="111">
        <f t="shared" si="18"/>
        <v>1609100</v>
      </c>
      <c r="N37" s="210"/>
      <c r="O37" s="210"/>
      <c r="P37" s="111">
        <f t="shared" si="19"/>
        <v>2701000</v>
      </c>
      <c r="S37" s="111">
        <f t="shared" si="20"/>
        <v>1668700</v>
      </c>
      <c r="V37" s="111">
        <f t="shared" si="21"/>
        <v>1555800</v>
      </c>
      <c r="Y37" s="111">
        <f t="shared" si="22"/>
        <v>1516000</v>
      </c>
      <c r="AB37" s="111">
        <f t="shared" si="23"/>
        <v>1539900</v>
      </c>
      <c r="AE37" s="111">
        <f t="shared" si="24"/>
        <v>1562200</v>
      </c>
      <c r="AH37" s="111">
        <f t="shared" si="25"/>
        <v>1587700</v>
      </c>
    </row>
    <row r="38" spans="1:34" s="103" customFormat="1" x14ac:dyDescent="0.2">
      <c r="A38" s="456"/>
      <c r="B38" s="456"/>
      <c r="C38" s="462" t="str">
        <f>Assumptions!$B$16</f>
        <v>Engineering - Construction</v>
      </c>
      <c r="D38" s="464">
        <f>Assumptions!$C$16</f>
        <v>0.15</v>
      </c>
      <c r="G38" s="111">
        <f t="shared" si="16"/>
        <v>3350400</v>
      </c>
      <c r="H38" s="456"/>
      <c r="I38" s="456"/>
      <c r="J38" s="111">
        <f t="shared" si="17"/>
        <v>3551400</v>
      </c>
      <c r="M38" s="111">
        <f t="shared" si="18"/>
        <v>2413600</v>
      </c>
      <c r="N38" s="210"/>
      <c r="O38" s="210"/>
      <c r="P38" s="111">
        <f t="shared" si="19"/>
        <v>4051500</v>
      </c>
      <c r="S38" s="111">
        <f t="shared" si="20"/>
        <v>2503000</v>
      </c>
      <c r="V38" s="111">
        <f t="shared" si="21"/>
        <v>2333700</v>
      </c>
      <c r="Y38" s="111">
        <f t="shared" si="22"/>
        <v>2274000</v>
      </c>
      <c r="AB38" s="111">
        <f t="shared" si="23"/>
        <v>2309800</v>
      </c>
      <c r="AE38" s="111">
        <f t="shared" si="24"/>
        <v>2343200</v>
      </c>
      <c r="AH38" s="111">
        <f t="shared" si="25"/>
        <v>2381500</v>
      </c>
    </row>
    <row r="39" spans="1:34" s="103" customFormat="1" x14ac:dyDescent="0.2">
      <c r="A39" s="456"/>
      <c r="B39" s="465"/>
      <c r="C39" s="466" t="s">
        <v>19</v>
      </c>
      <c r="D39" s="458"/>
      <c r="G39" s="467">
        <f>SUM(G33:G38)</f>
        <v>32353555</v>
      </c>
      <c r="H39" s="456"/>
      <c r="I39" s="456"/>
      <c r="J39" s="467">
        <f>SUM(J33:J38)</f>
        <v>34162905</v>
      </c>
      <c r="M39" s="467">
        <f>SUM(M33:M38)</f>
        <v>21922650</v>
      </c>
      <c r="N39" s="210"/>
      <c r="O39" s="210"/>
      <c r="P39" s="467">
        <f>SUM(P33:P38)</f>
        <v>38063400</v>
      </c>
      <c r="S39" s="467">
        <f>SUM(S33:S38)</f>
        <v>22726950</v>
      </c>
      <c r="V39" s="467">
        <f>SUM(V33:V38)</f>
        <v>21203257.5</v>
      </c>
      <c r="Y39" s="467">
        <f>SUM(Y33:Y38)</f>
        <v>20665670</v>
      </c>
      <c r="AB39" s="467">
        <f>SUM(AB33:AB38)</f>
        <v>20988082.5</v>
      </c>
      <c r="AE39" s="467">
        <f>SUM(AE33:AE38)</f>
        <v>21289247.5</v>
      </c>
      <c r="AH39" s="467">
        <f>SUM(AH33:AH38)</f>
        <v>21433407.5</v>
      </c>
    </row>
    <row r="40" spans="1:34" x14ac:dyDescent="0.2">
      <c r="B40" s="453"/>
      <c r="C40" s="453"/>
      <c r="D40" s="452"/>
      <c r="E40" s="452"/>
      <c r="F40" s="452"/>
      <c r="G40" s="452"/>
      <c r="H40" s="452"/>
      <c r="I40" s="452"/>
      <c r="J40" s="452"/>
      <c r="K40" s="452"/>
      <c r="L40" s="452"/>
      <c r="M40" s="452"/>
      <c r="N40" s="452"/>
      <c r="O40" s="452"/>
      <c r="P40" s="452"/>
      <c r="Q40" s="452"/>
      <c r="R40" s="452"/>
      <c r="S40" s="452"/>
      <c r="T40" s="452"/>
      <c r="U40" s="452"/>
      <c r="V40" s="452"/>
      <c r="X40" s="452"/>
      <c r="Y40" s="452"/>
      <c r="AA40" s="452"/>
      <c r="AB40" s="452"/>
      <c r="AD40" s="452"/>
      <c r="AE40" s="452"/>
      <c r="AG40" s="452"/>
      <c r="AH40" s="452"/>
    </row>
    <row r="42" spans="1:34" x14ac:dyDescent="0.2">
      <c r="B42" s="443" t="s">
        <v>206</v>
      </c>
      <c r="D42" s="443"/>
      <c r="E42" s="443"/>
      <c r="F42" s="443"/>
      <c r="G42" s="443"/>
      <c r="H42" s="443"/>
      <c r="I42" s="443"/>
      <c r="J42" s="443"/>
      <c r="K42" s="443"/>
      <c r="L42" s="443"/>
      <c r="M42" s="443"/>
      <c r="N42" s="443"/>
      <c r="O42" s="443"/>
      <c r="P42" s="443"/>
      <c r="Q42" s="443"/>
      <c r="R42" s="443"/>
      <c r="S42" s="443"/>
      <c r="T42" s="443"/>
      <c r="U42" s="443"/>
      <c r="V42" s="443"/>
      <c r="X42" s="443"/>
      <c r="Y42" s="443"/>
      <c r="AA42" s="443"/>
      <c r="AB42" s="443"/>
      <c r="AD42" s="443"/>
      <c r="AE42" s="443"/>
      <c r="AG42" s="443"/>
      <c r="AH42" s="443"/>
    </row>
    <row r="43" spans="1:34" x14ac:dyDescent="0.2">
      <c r="B43" s="468" t="s">
        <v>161</v>
      </c>
      <c r="C43" s="208" t="s">
        <v>47</v>
      </c>
      <c r="D43" s="203">
        <f>'System Comparison - Downtown'!D43</f>
        <v>65</v>
      </c>
      <c r="E43" s="443"/>
      <c r="F43" s="469">
        <f>2080+(260*(F17+F18+F19+F20))</f>
        <v>4940</v>
      </c>
      <c r="G43" s="203">
        <f>F43*$D$43</f>
        <v>321100</v>
      </c>
      <c r="H43" s="443"/>
      <c r="I43" s="469">
        <f>2080+(260*(I17+I18+I19+I20))</f>
        <v>4940</v>
      </c>
      <c r="J43" s="203">
        <f>I43*$D$43</f>
        <v>321100</v>
      </c>
      <c r="K43" s="443"/>
      <c r="L43" s="469">
        <f>2080+(260*(L17+L18+L19+L20))</f>
        <v>2340</v>
      </c>
      <c r="M43" s="203">
        <f>L43*$D$43</f>
        <v>152100</v>
      </c>
      <c r="N43" s="443"/>
      <c r="O43" s="469">
        <f>2080+(260*(O17+O18+O19+O20))</f>
        <v>4160</v>
      </c>
      <c r="P43" s="203">
        <f>O43*$D$43</f>
        <v>270400</v>
      </c>
      <c r="Q43" s="443"/>
      <c r="R43" s="469">
        <f>2080+(260*(R17+R18+R19+R20))</f>
        <v>2340</v>
      </c>
      <c r="S43" s="203">
        <f>R43*$D$43</f>
        <v>152100</v>
      </c>
      <c r="T43" s="443"/>
      <c r="U43" s="469">
        <f>2080+(260*(U17+U18+U19+U20))</f>
        <v>2340</v>
      </c>
      <c r="V43" s="203">
        <f>U43*$D$43</f>
        <v>152100</v>
      </c>
      <c r="X43" s="469">
        <f>2080+(260*(X17+X18+X19+X20))</f>
        <v>2340</v>
      </c>
      <c r="Y43" s="203">
        <f>X43*$D$43</f>
        <v>152100</v>
      </c>
      <c r="AA43" s="469">
        <f>2080+(260*(AA17+AA18+AA19+AA20))</f>
        <v>2340</v>
      </c>
      <c r="AB43" s="203">
        <f>AA43*$D$43</f>
        <v>152100</v>
      </c>
      <c r="AD43" s="469">
        <f>2080+(260*(AD17+AD18+AD19+AD20))</f>
        <v>2340</v>
      </c>
      <c r="AE43" s="203">
        <f>AD43*$D$43</f>
        <v>152100</v>
      </c>
      <c r="AG43" s="469">
        <f>2080+(260*(AG17+AG18+AG19+AG20))</f>
        <v>2340</v>
      </c>
      <c r="AH43" s="203">
        <f>AG43*$D$43</f>
        <v>152100</v>
      </c>
    </row>
    <row r="44" spans="1:34" x14ac:dyDescent="0.2">
      <c r="B44" s="468" t="s">
        <v>162</v>
      </c>
      <c r="C44" s="208" t="s">
        <v>56</v>
      </c>
      <c r="D44" s="203">
        <f>'System Comparison - Downtown'!D44</f>
        <v>40000</v>
      </c>
      <c r="E44" s="443"/>
      <c r="F44" s="469">
        <f>F17+F18+F19+F20</f>
        <v>11</v>
      </c>
      <c r="G44" s="203">
        <f>F44*$D$44</f>
        <v>440000</v>
      </c>
      <c r="H44" s="443"/>
      <c r="I44" s="469">
        <f>I17+I18+I19+I20</f>
        <v>11</v>
      </c>
      <c r="J44" s="203">
        <f>I44*$D$44</f>
        <v>440000</v>
      </c>
      <c r="K44" s="443"/>
      <c r="L44" s="469">
        <f>L17+L18+L19+L20</f>
        <v>1</v>
      </c>
      <c r="M44" s="203">
        <f>L44*$D$44</f>
        <v>40000</v>
      </c>
      <c r="N44" s="443"/>
      <c r="O44" s="469">
        <f>O17+O18+O19+O20</f>
        <v>8</v>
      </c>
      <c r="P44" s="203">
        <f>O44*$D$44</f>
        <v>320000</v>
      </c>
      <c r="Q44" s="443"/>
      <c r="R44" s="469">
        <f>R17+R18+R19+R20</f>
        <v>1</v>
      </c>
      <c r="S44" s="203">
        <f>R44*$D$44</f>
        <v>40000</v>
      </c>
      <c r="T44" s="443"/>
      <c r="U44" s="469">
        <f>U17+U18+U19+U20</f>
        <v>1</v>
      </c>
      <c r="V44" s="203">
        <f>U44*$D$44</f>
        <v>40000</v>
      </c>
      <c r="X44" s="469">
        <f>X17+X18+X19+X20</f>
        <v>1</v>
      </c>
      <c r="Y44" s="203">
        <f>X44*$D$44</f>
        <v>40000</v>
      </c>
      <c r="AA44" s="469">
        <f>AA17+AA18+AA19+AA20</f>
        <v>1</v>
      </c>
      <c r="AB44" s="203">
        <f>AA44*$D$44</f>
        <v>40000</v>
      </c>
      <c r="AD44" s="469">
        <f>AD17+AD18+AD19+AD20</f>
        <v>1</v>
      </c>
      <c r="AE44" s="203">
        <f>AD44*$D$44</f>
        <v>40000</v>
      </c>
      <c r="AG44" s="469">
        <f>AG17+AG18+AG19+AG20</f>
        <v>1</v>
      </c>
      <c r="AH44" s="203">
        <f>AG44*$D$44</f>
        <v>40000</v>
      </c>
    </row>
    <row r="45" spans="1:34" x14ac:dyDescent="0.2">
      <c r="B45" s="468" t="s">
        <v>282</v>
      </c>
      <c r="C45" s="208" t="s">
        <v>21</v>
      </c>
      <c r="D45" s="203">
        <f>'System Comparison - Downtown'!D45</f>
        <v>5</v>
      </c>
      <c r="E45" s="443"/>
      <c r="F45" s="470">
        <f>(F11+F16)*0.25</f>
        <v>9125</v>
      </c>
      <c r="G45" s="203">
        <f>F45*$D$45</f>
        <v>45625</v>
      </c>
      <c r="H45" s="443"/>
      <c r="I45" s="470">
        <f>(I11+I16)*0.25</f>
        <v>9125</v>
      </c>
      <c r="J45" s="203">
        <f>I45*$D$45</f>
        <v>45625</v>
      </c>
      <c r="K45" s="443"/>
      <c r="L45" s="470">
        <f>(L11+L16)*0.25</f>
        <v>0</v>
      </c>
      <c r="M45" s="203">
        <f>L45*$D$45</f>
        <v>0</v>
      </c>
      <c r="N45" s="443"/>
      <c r="O45" s="470">
        <f>(O11+O16)*0.25</f>
        <v>0</v>
      </c>
      <c r="P45" s="203">
        <f>O45*$D$45</f>
        <v>0</v>
      </c>
      <c r="Q45" s="443"/>
      <c r="R45" s="470">
        <f>(R11+R16)*0.25</f>
        <v>0</v>
      </c>
      <c r="S45" s="203">
        <f>R45*$D$45</f>
        <v>0</v>
      </c>
      <c r="T45" s="443"/>
      <c r="U45" s="470">
        <f>(U11+U16)*0.25</f>
        <v>3937.5</v>
      </c>
      <c r="V45" s="203">
        <f>U45*$D$45</f>
        <v>19687.5</v>
      </c>
      <c r="X45" s="470">
        <f>(X11+X16)*0.25</f>
        <v>3937.5</v>
      </c>
      <c r="Y45" s="203">
        <f>X45*$D$45</f>
        <v>19687.5</v>
      </c>
      <c r="AA45" s="470">
        <f>(AA11+AA16)*0.25</f>
        <v>3937.5</v>
      </c>
      <c r="AB45" s="203">
        <f>AA45*$D$45</f>
        <v>19687.5</v>
      </c>
      <c r="AD45" s="470">
        <f>(AD11+AD16)*0.25</f>
        <v>3937.5</v>
      </c>
      <c r="AE45" s="203">
        <f>AD45*$D$45</f>
        <v>19687.5</v>
      </c>
      <c r="AG45" s="470">
        <f>(AG11+AG16)*0.25</f>
        <v>3937.5</v>
      </c>
      <c r="AH45" s="203">
        <f>AG45*$D$45</f>
        <v>19687.5</v>
      </c>
    </row>
    <row r="46" spans="1:34" x14ac:dyDescent="0.2">
      <c r="B46" s="468" t="s">
        <v>283</v>
      </c>
      <c r="C46" s="208" t="s">
        <v>21</v>
      </c>
      <c r="D46" s="203">
        <f>'System Comparison - Downtown'!D46</f>
        <v>2</v>
      </c>
      <c r="E46" s="443"/>
      <c r="F46" s="470">
        <f>F12+F13+F14+F15</f>
        <v>26250</v>
      </c>
      <c r="G46" s="203">
        <f>F46*$D$45</f>
        <v>131250</v>
      </c>
      <c r="H46" s="443"/>
      <c r="I46" s="470">
        <f>I12+I13+I14+I15</f>
        <v>26250</v>
      </c>
      <c r="J46" s="203">
        <f>I46*$D$45</f>
        <v>131250</v>
      </c>
      <c r="K46" s="443"/>
      <c r="L46" s="470">
        <f>L12+L13+L14+L15</f>
        <v>47750</v>
      </c>
      <c r="M46" s="203">
        <f>L46*$D$45</f>
        <v>238750</v>
      </c>
      <c r="N46" s="443"/>
      <c r="O46" s="470">
        <f>O12+O13+O14+O15</f>
        <v>54500</v>
      </c>
      <c r="P46" s="203">
        <f>O46*$D$45</f>
        <v>272500</v>
      </c>
      <c r="Q46" s="443"/>
      <c r="R46" s="470">
        <f>R12+R13+R14+R15</f>
        <v>47750</v>
      </c>
      <c r="S46" s="203">
        <f>R46*$D$45</f>
        <v>238750</v>
      </c>
      <c r="T46" s="443"/>
      <c r="U46" s="470">
        <f>U12+U13+U14+U15</f>
        <v>32000</v>
      </c>
      <c r="V46" s="203">
        <f>U46*$D$45</f>
        <v>160000</v>
      </c>
      <c r="X46" s="470">
        <f>X12+X13+X14+X15</f>
        <v>32000</v>
      </c>
      <c r="Y46" s="203">
        <f>X46*$D$45</f>
        <v>160000</v>
      </c>
      <c r="AA46" s="470">
        <f>AA12+AA13+AA14+AA15</f>
        <v>32000</v>
      </c>
      <c r="AB46" s="203">
        <f>AA46*$D$45</f>
        <v>160000</v>
      </c>
      <c r="AD46" s="470">
        <f>AD12+AD13+AD14+AD15</f>
        <v>32000</v>
      </c>
      <c r="AE46" s="203">
        <f>AD46*$D$45</f>
        <v>160000</v>
      </c>
      <c r="AG46" s="470">
        <f>AG12+AG13+AG14+AG15</f>
        <v>32000</v>
      </c>
      <c r="AH46" s="203">
        <f>AG46*$D$45</f>
        <v>160000</v>
      </c>
    </row>
    <row r="47" spans="1:34" x14ac:dyDescent="0.2">
      <c r="B47" s="468" t="s">
        <v>205</v>
      </c>
      <c r="C47" s="208" t="s">
        <v>56</v>
      </c>
      <c r="D47" s="203">
        <f>'System Comparison - Downtown'!D47</f>
        <v>75</v>
      </c>
      <c r="E47" s="443"/>
      <c r="F47" s="470">
        <f>F22+F23+F24</f>
        <v>0</v>
      </c>
      <c r="G47" s="203">
        <f>F47*$D$47</f>
        <v>0</v>
      </c>
      <c r="H47" s="443"/>
      <c r="I47" s="470">
        <f>I22+I23+I24</f>
        <v>0</v>
      </c>
      <c r="J47" s="203">
        <f>I47*$D$47</f>
        <v>0</v>
      </c>
      <c r="K47" s="443"/>
      <c r="L47" s="470">
        <f>L22+L23+L24</f>
        <v>372</v>
      </c>
      <c r="M47" s="203">
        <f>L47*$D$47</f>
        <v>27900</v>
      </c>
      <c r="N47" s="443"/>
      <c r="O47" s="470">
        <f>O22+O23+O24</f>
        <v>372</v>
      </c>
      <c r="P47" s="203">
        <f>O47*$D$47</f>
        <v>27900</v>
      </c>
      <c r="Q47" s="443"/>
      <c r="R47" s="470">
        <f>R22+R23+R24</f>
        <v>372</v>
      </c>
      <c r="S47" s="203">
        <f>R47*$D$47</f>
        <v>27900</v>
      </c>
      <c r="T47" s="443"/>
      <c r="U47" s="470">
        <f>U22+U23+U24</f>
        <v>199</v>
      </c>
      <c r="V47" s="203">
        <f>U47*$D$47</f>
        <v>14925</v>
      </c>
      <c r="X47" s="470">
        <f>X22+X23+X24</f>
        <v>199</v>
      </c>
      <c r="Y47" s="203">
        <f>X47*$D$47</f>
        <v>14925</v>
      </c>
      <c r="AA47" s="470">
        <f>AA22+AA23+AA24</f>
        <v>199</v>
      </c>
      <c r="AB47" s="203">
        <f>AA47*$D$47</f>
        <v>14925</v>
      </c>
      <c r="AD47" s="470">
        <f>AD22+AD23+AD24</f>
        <v>199</v>
      </c>
      <c r="AE47" s="203">
        <f>AD47*$D$47</f>
        <v>14925</v>
      </c>
      <c r="AG47" s="470">
        <f>AG22+AG23+AG24</f>
        <v>199</v>
      </c>
      <c r="AH47" s="203">
        <f>AG47*$D$47</f>
        <v>14925</v>
      </c>
    </row>
    <row r="48" spans="1:34" x14ac:dyDescent="0.2">
      <c r="B48" s="468" t="s">
        <v>211</v>
      </c>
      <c r="C48" s="208" t="s">
        <v>56</v>
      </c>
      <c r="D48" s="203">
        <v>100</v>
      </c>
      <c r="E48" s="443"/>
      <c r="F48" s="470">
        <f>F24+F25</f>
        <v>0</v>
      </c>
      <c r="G48" s="203">
        <f>F48*$D$48</f>
        <v>0</v>
      </c>
      <c r="H48" s="443"/>
      <c r="I48" s="470">
        <f>I24+I25</f>
        <v>372</v>
      </c>
      <c r="J48" s="203">
        <f>I48*$D$48</f>
        <v>37200</v>
      </c>
      <c r="K48" s="443"/>
      <c r="L48" s="470">
        <f>L24+L25</f>
        <v>0</v>
      </c>
      <c r="M48" s="203">
        <f>L48*$D$48</f>
        <v>0</v>
      </c>
      <c r="N48" s="443"/>
      <c r="O48" s="470">
        <f>O24+O25</f>
        <v>0</v>
      </c>
      <c r="P48" s="203">
        <f>O48*$D$48</f>
        <v>0</v>
      </c>
      <c r="Q48" s="443"/>
      <c r="R48" s="470">
        <f>R24+R25</f>
        <v>372</v>
      </c>
      <c r="S48" s="203">
        <f>R48*$D$48</f>
        <v>37200</v>
      </c>
      <c r="T48" s="443"/>
      <c r="U48" s="470">
        <f>U24+U25</f>
        <v>0</v>
      </c>
      <c r="V48" s="203">
        <f>U48*$D$48</f>
        <v>0</v>
      </c>
      <c r="X48" s="470">
        <f>X24+X25</f>
        <v>199</v>
      </c>
      <c r="Y48" s="203">
        <f>X48*$D$48</f>
        <v>19900</v>
      </c>
      <c r="AA48" s="470">
        <f>AA24+AA25</f>
        <v>199</v>
      </c>
      <c r="AB48" s="203">
        <f>AA48*$D$48</f>
        <v>19900</v>
      </c>
      <c r="AD48" s="470">
        <f>AD24+AD25</f>
        <v>199</v>
      </c>
      <c r="AE48" s="203">
        <f>AD48*$D$48</f>
        <v>19900</v>
      </c>
      <c r="AG48" s="470">
        <f>AG24+AG25</f>
        <v>199</v>
      </c>
      <c r="AH48" s="203">
        <f>AG48*$D$48</f>
        <v>19900</v>
      </c>
    </row>
    <row r="49" spans="2:34" x14ac:dyDescent="0.2">
      <c r="D49" s="443"/>
      <c r="E49" s="443"/>
      <c r="F49" s="443"/>
      <c r="G49" s="203"/>
      <c r="H49" s="443"/>
      <c r="I49" s="443"/>
      <c r="J49" s="203"/>
      <c r="K49" s="443"/>
      <c r="L49" s="443"/>
      <c r="M49" s="203"/>
      <c r="N49" s="443"/>
      <c r="O49" s="443"/>
      <c r="P49" s="203"/>
      <c r="Q49" s="443"/>
      <c r="R49" s="443"/>
      <c r="S49" s="203"/>
      <c r="T49" s="443"/>
      <c r="U49" s="443"/>
      <c r="V49" s="203"/>
      <c r="X49" s="443"/>
      <c r="Y49" s="203"/>
      <c r="AA49" s="443"/>
      <c r="AB49" s="203"/>
      <c r="AD49" s="443"/>
      <c r="AE49" s="203"/>
      <c r="AG49" s="443"/>
      <c r="AH49" s="203"/>
    </row>
    <row r="50" spans="2:34" x14ac:dyDescent="0.2">
      <c r="B50" s="443" t="s">
        <v>208</v>
      </c>
      <c r="D50" s="443"/>
      <c r="E50" s="443"/>
      <c r="F50" s="443"/>
      <c r="G50" s="203"/>
      <c r="H50" s="443"/>
      <c r="I50" s="443"/>
      <c r="J50" s="203"/>
      <c r="K50" s="443"/>
      <c r="L50" s="443"/>
      <c r="M50" s="203"/>
      <c r="N50" s="443"/>
      <c r="O50" s="443"/>
      <c r="P50" s="203"/>
      <c r="Q50" s="443"/>
      <c r="R50" s="443"/>
      <c r="S50" s="203"/>
      <c r="T50" s="443"/>
      <c r="U50" s="443"/>
      <c r="V50" s="203"/>
      <c r="X50" s="443"/>
      <c r="Y50" s="203"/>
      <c r="AA50" s="443"/>
      <c r="AB50" s="203"/>
      <c r="AD50" s="443"/>
      <c r="AE50" s="203"/>
      <c r="AG50" s="443"/>
      <c r="AH50" s="203"/>
    </row>
    <row r="51" spans="2:34" x14ac:dyDescent="0.2">
      <c r="B51" s="468" t="s">
        <v>236</v>
      </c>
      <c r="C51" s="208" t="s">
        <v>56</v>
      </c>
      <c r="D51" s="203">
        <f>'System Comparison - Downtown'!D51</f>
        <v>33397.5</v>
      </c>
      <c r="E51" s="443"/>
      <c r="F51" s="471">
        <f>F17+F18+F19+F20</f>
        <v>11</v>
      </c>
      <c r="G51" s="203">
        <f>F51*$D$51</f>
        <v>367372.5</v>
      </c>
      <c r="H51" s="443"/>
      <c r="I51" s="471">
        <f>I17+I18+I19+I20</f>
        <v>11</v>
      </c>
      <c r="J51" s="203">
        <f>I51*$D$51</f>
        <v>367372.5</v>
      </c>
      <c r="K51" s="443"/>
      <c r="L51" s="471">
        <f>L17+L18+L19+L20</f>
        <v>1</v>
      </c>
      <c r="M51" s="203">
        <f>L51*$D$51</f>
        <v>33397.5</v>
      </c>
      <c r="N51" s="443"/>
      <c r="O51" s="471">
        <f>O17+O18+O19+O20</f>
        <v>8</v>
      </c>
      <c r="P51" s="203">
        <f>O51*$D$51</f>
        <v>267180</v>
      </c>
      <c r="Q51" s="443"/>
      <c r="R51" s="471">
        <f>R17+R18+R19+R20</f>
        <v>1</v>
      </c>
      <c r="S51" s="203">
        <f>R51*$D$51</f>
        <v>33397.5</v>
      </c>
      <c r="T51" s="443"/>
      <c r="U51" s="471">
        <f>U17+U18+U19+U20</f>
        <v>1</v>
      </c>
      <c r="V51" s="203">
        <f>U51*$D$51</f>
        <v>33397.5</v>
      </c>
      <c r="X51" s="471">
        <f>X17+X18+X19+X20</f>
        <v>1</v>
      </c>
      <c r="Y51" s="203">
        <f>X51*$D$51</f>
        <v>33397.5</v>
      </c>
      <c r="AA51" s="471">
        <f>AA17+AA18+AA19+AA20</f>
        <v>1</v>
      </c>
      <c r="AB51" s="203">
        <f>AA51*$D$51</f>
        <v>33397.5</v>
      </c>
      <c r="AD51" s="471">
        <f>AD17+AD18+AD19+AD20</f>
        <v>1</v>
      </c>
      <c r="AE51" s="203">
        <f>AD51*$D$51</f>
        <v>33397.5</v>
      </c>
      <c r="AG51" s="471">
        <f>AG17+AG18+AG19+AG20</f>
        <v>1</v>
      </c>
      <c r="AH51" s="203">
        <f>AG51*$D$51</f>
        <v>33397.5</v>
      </c>
    </row>
    <row r="52" spans="2:34" x14ac:dyDescent="0.2">
      <c r="B52" s="468" t="s">
        <v>205</v>
      </c>
      <c r="C52" s="208" t="s">
        <v>56</v>
      </c>
      <c r="D52" s="203">
        <f>'System Comparison - Downtown'!D52</f>
        <v>2500</v>
      </c>
      <c r="E52" s="443"/>
      <c r="F52" s="470">
        <f>(F22+F23+F24)*0.05</f>
        <v>0</v>
      </c>
      <c r="G52" s="203">
        <f>F52*$D$52</f>
        <v>0</v>
      </c>
      <c r="H52" s="443"/>
      <c r="I52" s="470">
        <f>(I22+I23+I24)*0.05</f>
        <v>0</v>
      </c>
      <c r="J52" s="203">
        <f>I52*$D$52</f>
        <v>0</v>
      </c>
      <c r="K52" s="443"/>
      <c r="L52" s="470">
        <f>(L22+L23+L24)*0.05</f>
        <v>18.600000000000001</v>
      </c>
      <c r="M52" s="203">
        <f>L52*$D$52</f>
        <v>46500</v>
      </c>
      <c r="N52" s="443"/>
      <c r="O52" s="470">
        <f>(O22+O23+O24)*0.05</f>
        <v>18.600000000000001</v>
      </c>
      <c r="P52" s="203">
        <f>O52*$D$52</f>
        <v>46500</v>
      </c>
      <c r="Q52" s="443"/>
      <c r="R52" s="470">
        <f>(R22+R23+R24)*0.05</f>
        <v>18.600000000000001</v>
      </c>
      <c r="S52" s="203">
        <f>R52*$D$52</f>
        <v>46500</v>
      </c>
      <c r="T52" s="443"/>
      <c r="U52" s="470">
        <f>(U22+U23+U24)*0.05</f>
        <v>9.9500000000000011</v>
      </c>
      <c r="V52" s="203">
        <f>U52*$D$52</f>
        <v>24875.000000000004</v>
      </c>
      <c r="X52" s="470">
        <f>(X22+X23+X24)*0.05</f>
        <v>9.9500000000000011</v>
      </c>
      <c r="Y52" s="203">
        <f>X52*$D$52</f>
        <v>24875.000000000004</v>
      </c>
      <c r="AA52" s="470">
        <f>(AA22+AA23+AA24)*0.05</f>
        <v>9.9500000000000011</v>
      </c>
      <c r="AB52" s="203">
        <f>AA52*$D$52</f>
        <v>24875.000000000004</v>
      </c>
      <c r="AD52" s="470">
        <f>(AD22+AD23+AD24)*0.05</f>
        <v>9.9500000000000011</v>
      </c>
      <c r="AE52" s="203">
        <f>AD52*$D$52</f>
        <v>24875.000000000004</v>
      </c>
      <c r="AG52" s="470">
        <f>(AG22+AG23+AG24)*0.05</f>
        <v>9.9500000000000011</v>
      </c>
      <c r="AH52" s="203">
        <f>AG52*$D$52</f>
        <v>24875.000000000004</v>
      </c>
    </row>
    <row r="53" spans="2:34" x14ac:dyDescent="0.2">
      <c r="D53" s="443"/>
      <c r="E53" s="443"/>
      <c r="F53" s="443"/>
      <c r="G53" s="203"/>
      <c r="H53" s="443"/>
      <c r="I53" s="443"/>
      <c r="J53" s="203"/>
      <c r="K53" s="443"/>
      <c r="L53" s="443"/>
      <c r="M53" s="203"/>
      <c r="N53" s="443"/>
      <c r="O53" s="443"/>
      <c r="P53" s="203"/>
      <c r="Q53" s="443"/>
      <c r="R53" s="443"/>
      <c r="S53" s="203"/>
      <c r="T53" s="443"/>
      <c r="U53" s="443"/>
      <c r="V53" s="203"/>
      <c r="X53" s="443"/>
      <c r="Y53" s="203"/>
      <c r="AA53" s="443"/>
      <c r="AB53" s="203"/>
      <c r="AD53" s="443"/>
      <c r="AE53" s="203"/>
      <c r="AG53" s="443"/>
      <c r="AH53" s="203"/>
    </row>
    <row r="54" spans="2:34" x14ac:dyDescent="0.2">
      <c r="B54" s="443" t="s">
        <v>207</v>
      </c>
      <c r="D54" s="443"/>
      <c r="E54" s="443"/>
      <c r="F54" s="443"/>
      <c r="G54" s="203"/>
      <c r="H54" s="443"/>
      <c r="I54" s="443"/>
      <c r="J54" s="203"/>
      <c r="K54" s="443"/>
      <c r="L54" s="443"/>
      <c r="M54" s="203"/>
      <c r="N54" s="443"/>
      <c r="O54" s="443"/>
      <c r="P54" s="203"/>
      <c r="Q54" s="443"/>
      <c r="R54" s="443"/>
      <c r="S54" s="203"/>
      <c r="T54" s="443"/>
      <c r="U54" s="443"/>
      <c r="V54" s="203"/>
      <c r="X54" s="443"/>
      <c r="Y54" s="203"/>
      <c r="AA54" s="443"/>
      <c r="AB54" s="203"/>
      <c r="AD54" s="443"/>
      <c r="AE54" s="203"/>
      <c r="AG54" s="443"/>
      <c r="AH54" s="203"/>
    </row>
    <row r="55" spans="2:34" x14ac:dyDescent="0.2">
      <c r="B55" s="468" t="s">
        <v>33</v>
      </c>
      <c r="C55" s="208" t="s">
        <v>56</v>
      </c>
      <c r="D55" s="203">
        <f>'System Comparison - Downtown'!D55</f>
        <v>2500</v>
      </c>
      <c r="E55" s="443"/>
      <c r="F55" s="470">
        <f>F17+F18+F19+F20</f>
        <v>11</v>
      </c>
      <c r="G55" s="203">
        <f>F55*$D$55</f>
        <v>27500</v>
      </c>
      <c r="H55" s="443"/>
      <c r="I55" s="470">
        <f>I17+I18+I19+I20</f>
        <v>11</v>
      </c>
      <c r="J55" s="203">
        <f>I55*$D$55</f>
        <v>27500</v>
      </c>
      <c r="K55" s="443"/>
      <c r="L55" s="470">
        <f>L17+L18+L19+L20</f>
        <v>1</v>
      </c>
      <c r="M55" s="203">
        <f>L55*$D$55</f>
        <v>2500</v>
      </c>
      <c r="N55" s="443"/>
      <c r="O55" s="470">
        <f>O17+O18+O19+O20</f>
        <v>8</v>
      </c>
      <c r="P55" s="203">
        <f>O55*$D$55</f>
        <v>20000</v>
      </c>
      <c r="Q55" s="443"/>
      <c r="R55" s="470">
        <f>R17+R18+R19+R20</f>
        <v>1</v>
      </c>
      <c r="S55" s="203">
        <f>R55*$D$55</f>
        <v>2500</v>
      </c>
      <c r="T55" s="443"/>
      <c r="U55" s="470">
        <f>U17+U18+U19+U20</f>
        <v>1</v>
      </c>
      <c r="V55" s="203">
        <f>U55*$D$55</f>
        <v>2500</v>
      </c>
      <c r="X55" s="470">
        <f>X17+X18+X19+X20</f>
        <v>1</v>
      </c>
      <c r="Y55" s="203">
        <f>X55*$D$55</f>
        <v>2500</v>
      </c>
      <c r="AA55" s="470">
        <f>AA17+AA18+AA19+AA20</f>
        <v>1</v>
      </c>
      <c r="AB55" s="203">
        <f>AA55*$D$55</f>
        <v>2500</v>
      </c>
      <c r="AD55" s="470">
        <f>AD17+AD18+AD19+AD20</f>
        <v>1</v>
      </c>
      <c r="AE55" s="203">
        <f>AD55*$D$55</f>
        <v>2500</v>
      </c>
      <c r="AG55" s="470">
        <f>AG17+AG18+AG19+AG20</f>
        <v>1</v>
      </c>
      <c r="AH55" s="203">
        <f>AG55*$D$55</f>
        <v>2500</v>
      </c>
    </row>
    <row r="56" spans="2:34" x14ac:dyDescent="0.2">
      <c r="B56" s="468" t="s">
        <v>205</v>
      </c>
      <c r="C56" s="208" t="s">
        <v>56</v>
      </c>
      <c r="D56" s="203">
        <f>'System Comparison - Downtown'!D56</f>
        <v>520</v>
      </c>
      <c r="E56" s="443"/>
      <c r="F56" s="470">
        <f>F22+F23+F24</f>
        <v>0</v>
      </c>
      <c r="G56" s="203">
        <f>F56*$D$56</f>
        <v>0</v>
      </c>
      <c r="H56" s="443"/>
      <c r="I56" s="470">
        <f>I22+I23+I24</f>
        <v>0</v>
      </c>
      <c r="J56" s="203">
        <f>I56*$D$56</f>
        <v>0</v>
      </c>
      <c r="K56" s="443"/>
      <c r="L56" s="470">
        <f>L22+L23+L24</f>
        <v>372</v>
      </c>
      <c r="M56" s="203">
        <f>L56*$D$56</f>
        <v>193440</v>
      </c>
      <c r="N56" s="443"/>
      <c r="O56" s="470">
        <f>O22+O23+O24</f>
        <v>372</v>
      </c>
      <c r="P56" s="203">
        <f>O56*$D$56</f>
        <v>193440</v>
      </c>
      <c r="Q56" s="443"/>
      <c r="R56" s="470">
        <f>R22+R23+R24</f>
        <v>372</v>
      </c>
      <c r="S56" s="203">
        <f>R56*$D$56</f>
        <v>193440</v>
      </c>
      <c r="T56" s="443"/>
      <c r="U56" s="470">
        <f>U22+U23+U24</f>
        <v>199</v>
      </c>
      <c r="V56" s="203">
        <f>U56*$D$56</f>
        <v>103480</v>
      </c>
      <c r="X56" s="470">
        <f>X22+X23+X24</f>
        <v>199</v>
      </c>
      <c r="Y56" s="203">
        <f>X56*$D$56</f>
        <v>103480</v>
      </c>
      <c r="AA56" s="470">
        <f>AA22+AA23+AA24</f>
        <v>199</v>
      </c>
      <c r="AB56" s="203">
        <f>AA56*$D$56</f>
        <v>103480</v>
      </c>
      <c r="AD56" s="470">
        <f>AD22+AD23+AD24</f>
        <v>199</v>
      </c>
      <c r="AE56" s="203">
        <f>AD56*$D$56</f>
        <v>103480</v>
      </c>
      <c r="AG56" s="470">
        <f>AG22+AG23+AG24</f>
        <v>199</v>
      </c>
      <c r="AH56" s="203">
        <f>AG56*$D$56</f>
        <v>103480</v>
      </c>
    </row>
    <row r="57" spans="2:34" x14ac:dyDescent="0.2">
      <c r="C57" s="466" t="s">
        <v>209</v>
      </c>
      <c r="D57" s="443"/>
      <c r="E57" s="443"/>
      <c r="F57" s="443"/>
      <c r="G57" s="211">
        <f>SUM(G43:G56)</f>
        <v>1332847.5</v>
      </c>
      <c r="H57" s="443"/>
      <c r="I57" s="443"/>
      <c r="J57" s="211">
        <f>SUM(J43:J56)</f>
        <v>1370047.5</v>
      </c>
      <c r="K57" s="443"/>
      <c r="L57" s="443"/>
      <c r="M57" s="211">
        <f>SUM(M43:M56)</f>
        <v>734587.5</v>
      </c>
      <c r="N57" s="443"/>
      <c r="O57" s="443"/>
      <c r="P57" s="211">
        <f>SUM(P43:P56)</f>
        <v>1417920</v>
      </c>
      <c r="Q57" s="443"/>
      <c r="R57" s="443"/>
      <c r="S57" s="211">
        <f>SUM(S43:S56)</f>
        <v>771787.5</v>
      </c>
      <c r="T57" s="443"/>
      <c r="U57" s="443"/>
      <c r="V57" s="211">
        <f>SUM(V43:V56)</f>
        <v>550965</v>
      </c>
      <c r="X57" s="443"/>
      <c r="Y57" s="211">
        <f>SUM(Y43:Y56)</f>
        <v>570865</v>
      </c>
      <c r="AA57" s="443"/>
      <c r="AB57" s="211">
        <f>SUM(AB43:AB56)</f>
        <v>570865</v>
      </c>
      <c r="AD57" s="443"/>
      <c r="AE57" s="211">
        <f>SUM(AE43:AE56)</f>
        <v>570865</v>
      </c>
      <c r="AG57" s="443"/>
      <c r="AH57" s="211">
        <f>SUM(AH43:AH56)</f>
        <v>570865</v>
      </c>
    </row>
    <row r="59" spans="2:34" x14ac:dyDescent="0.2">
      <c r="C59" s="472" t="s">
        <v>210</v>
      </c>
      <c r="D59" s="443"/>
      <c r="E59" s="443"/>
      <c r="F59" s="443"/>
      <c r="G59" s="473" t="e">
        <f>(ROUND(G39,-3))+(-ROUND(PV($D$61,$D$62,G57,0),-3))</f>
        <v>#REF!</v>
      </c>
      <c r="H59" s="443"/>
      <c r="I59" s="443"/>
      <c r="J59" s="473" t="e">
        <f>(ROUND(J39,-3))+(-ROUND(PV($D$61,$D$62,J57,0),-3))</f>
        <v>#REF!</v>
      </c>
      <c r="K59" s="443"/>
      <c r="L59" s="443"/>
      <c r="M59" s="473" t="e">
        <f>(ROUND(M39,-3))+(-ROUND(PV($D$61,$D$62,M57,0),-3))</f>
        <v>#REF!</v>
      </c>
      <c r="N59" s="443"/>
      <c r="O59" s="443"/>
      <c r="P59" s="473" t="e">
        <f>(ROUND(P39,-3))+(-ROUND(PV($D$61,$D$62,P57,0),-3))</f>
        <v>#REF!</v>
      </c>
      <c r="Q59" s="443"/>
      <c r="R59" s="443"/>
      <c r="S59" s="473" t="e">
        <f>(ROUND(S39,-3))+(-ROUND(PV($D$61,$D$62,S57,0),-3))</f>
        <v>#REF!</v>
      </c>
      <c r="T59" s="443"/>
      <c r="U59" s="443"/>
      <c r="V59" s="473" t="e">
        <f>(ROUND(V39,-3))+(-ROUND(PV($D$61,$D$62,V57,0),-3))</f>
        <v>#REF!</v>
      </c>
      <c r="X59" s="443"/>
      <c r="Y59" s="473" t="e">
        <f>(ROUND(Y39,-3))+(-ROUND(PV($D$61,$D$62,Y57,0),-3))</f>
        <v>#REF!</v>
      </c>
      <c r="AA59" s="443"/>
      <c r="AB59" s="473" t="e">
        <f>(ROUND(AB39,-3))+(-ROUND(PV($D$61,$D$62,AB57,0),-3))</f>
        <v>#REF!</v>
      </c>
      <c r="AD59" s="443"/>
      <c r="AE59" s="473" t="e">
        <f>(ROUND(AE39,-3))+(-ROUND(PV($D$61,$D$62,AE57,0),-3))</f>
        <v>#REF!</v>
      </c>
      <c r="AG59" s="443"/>
      <c r="AH59" s="473" t="e">
        <f>(ROUND(AH39,-3))+(-ROUND(PV($D$61,$D$62,AH57,0),-3))</f>
        <v>#REF!</v>
      </c>
    </row>
    <row r="61" spans="2:34" x14ac:dyDescent="0.2">
      <c r="B61" s="200"/>
      <c r="C61" s="200" t="e">
        <f>#REF!</f>
        <v>#REF!</v>
      </c>
      <c r="D61" s="474" t="e">
        <f>#REF!</f>
        <v>#REF!</v>
      </c>
      <c r="E61" s="443"/>
      <c r="F61" s="200"/>
      <c r="G61" s="443"/>
      <c r="H61" s="443"/>
      <c r="I61" s="443"/>
      <c r="J61" s="443"/>
      <c r="K61" s="443"/>
      <c r="L61" s="443"/>
      <c r="M61" s="443"/>
      <c r="N61" s="443"/>
      <c r="O61" s="443"/>
      <c r="P61" s="443"/>
      <c r="Q61" s="443"/>
      <c r="R61" s="443"/>
      <c r="S61" s="443"/>
      <c r="T61" s="443"/>
      <c r="U61" s="443"/>
      <c r="V61" s="443" t="s">
        <v>242</v>
      </c>
      <c r="X61" s="443"/>
      <c r="Y61" s="475" t="e">
        <f>$V$59-Y59</f>
        <v>#REF!</v>
      </c>
      <c r="Z61" s="476"/>
      <c r="AA61" s="476"/>
      <c r="AB61" s="475" t="e">
        <f>$V$59-AB59</f>
        <v>#REF!</v>
      </c>
      <c r="AC61" s="476"/>
      <c r="AD61" s="476"/>
      <c r="AE61" s="475" t="e">
        <f>$V$59-AE59</f>
        <v>#REF!</v>
      </c>
      <c r="AF61" s="476"/>
      <c r="AG61" s="476"/>
      <c r="AH61" s="475" t="e">
        <f>$V$59-AH59</f>
        <v>#REF!</v>
      </c>
    </row>
    <row r="62" spans="2:34" x14ac:dyDescent="0.2">
      <c r="B62" s="200"/>
      <c r="C62" s="200" t="e">
        <f>#REF!</f>
        <v>#REF!</v>
      </c>
      <c r="D62" s="202" t="e">
        <f>#REF!</f>
        <v>#REF!</v>
      </c>
      <c r="F62" s="202"/>
    </row>
    <row r="63" spans="2:34" x14ac:dyDescent="0.2">
      <c r="B63" s="477"/>
      <c r="C63" s="477"/>
      <c r="D63" s="478"/>
      <c r="E63" s="452"/>
      <c r="F63" s="478"/>
      <c r="G63" s="452"/>
      <c r="H63" s="452"/>
      <c r="I63" s="452"/>
      <c r="J63" s="452"/>
      <c r="K63" s="452"/>
      <c r="L63" s="452"/>
      <c r="M63" s="452"/>
      <c r="N63" s="452"/>
      <c r="O63" s="452"/>
      <c r="P63" s="452"/>
      <c r="Q63" s="452"/>
      <c r="R63" s="452"/>
      <c r="S63" s="452"/>
      <c r="T63" s="452"/>
      <c r="U63" s="452"/>
      <c r="V63" s="452"/>
      <c r="W63" s="453"/>
      <c r="X63" s="452"/>
      <c r="Y63" s="452"/>
      <c r="Z63" s="453"/>
      <c r="AA63" s="452"/>
      <c r="AB63" s="452"/>
      <c r="AC63" s="453"/>
      <c r="AD63" s="452"/>
      <c r="AE63" s="452"/>
      <c r="AF63" s="453"/>
      <c r="AG63" s="452"/>
      <c r="AH63" s="452"/>
    </row>
    <row r="64" spans="2:34" x14ac:dyDescent="0.2">
      <c r="B64" s="200"/>
      <c r="C64" s="200"/>
      <c r="D64" s="202"/>
      <c r="F64" s="202"/>
    </row>
    <row r="65" spans="2:34" x14ac:dyDescent="0.2">
      <c r="B65" s="200"/>
      <c r="C65" s="483" t="s">
        <v>239</v>
      </c>
      <c r="D65" s="484">
        <f>'System Comparison - Downtown'!D65</f>
        <v>200000</v>
      </c>
      <c r="F65" s="202"/>
    </row>
    <row r="66" spans="2:34" x14ac:dyDescent="0.2">
      <c r="B66" s="200"/>
      <c r="C66" s="200"/>
      <c r="D66" s="202"/>
      <c r="F66" s="202"/>
    </row>
    <row r="67" spans="2:34" x14ac:dyDescent="0.2">
      <c r="B67" s="200"/>
      <c r="C67" s="200"/>
      <c r="D67" s="202"/>
      <c r="F67" s="202"/>
    </row>
    <row r="68" spans="2:34" x14ac:dyDescent="0.2">
      <c r="B68" s="200"/>
      <c r="C68" s="200"/>
      <c r="D68" s="202"/>
      <c r="F68" s="202"/>
    </row>
    <row r="69" spans="2:34" x14ac:dyDescent="0.2">
      <c r="B69" s="200"/>
      <c r="C69" s="200"/>
      <c r="D69" s="202"/>
      <c r="F69" s="202"/>
    </row>
    <row r="71" spans="2:34" x14ac:dyDescent="0.2">
      <c r="G71" s="485"/>
      <c r="J71" s="485"/>
      <c r="M71" s="485"/>
      <c r="P71" s="485"/>
      <c r="S71" s="485"/>
      <c r="V71" s="485"/>
      <c r="Y71" s="485">
        <f>Y39</f>
        <v>20665670</v>
      </c>
      <c r="AB71" s="485">
        <f>AB39</f>
        <v>20988082.5</v>
      </c>
      <c r="AE71" s="485">
        <f>AE39</f>
        <v>21289247.5</v>
      </c>
      <c r="AH71" s="485">
        <f>AH39</f>
        <v>21433407.5</v>
      </c>
    </row>
    <row r="73" spans="2:34" x14ac:dyDescent="0.2">
      <c r="G73" s="485"/>
      <c r="J73" s="485"/>
      <c r="M73" s="485"/>
      <c r="P73" s="485"/>
      <c r="S73" s="485"/>
      <c r="V73" s="485"/>
      <c r="Y73" s="485">
        <f>Y57</f>
        <v>570865</v>
      </c>
      <c r="AB73" s="485">
        <f>AB57</f>
        <v>570865</v>
      </c>
      <c r="AE73" s="485">
        <f>AE57</f>
        <v>570865</v>
      </c>
      <c r="AH73" s="485">
        <f>AH57</f>
        <v>570865</v>
      </c>
    </row>
    <row r="75" spans="2:34" x14ac:dyDescent="0.2">
      <c r="G75" s="485"/>
      <c r="J75" s="485"/>
      <c r="M75" s="485"/>
      <c r="P75" s="485"/>
      <c r="S75" s="485"/>
      <c r="V75" s="485"/>
      <c r="Y75" s="485" t="e">
        <f>Y59</f>
        <v>#REF!</v>
      </c>
      <c r="AB75" s="485" t="e">
        <f>AB59</f>
        <v>#REF!</v>
      </c>
      <c r="AE75" s="485" t="e">
        <f>AE59</f>
        <v>#REF!</v>
      </c>
      <c r="AH75" s="485" t="e">
        <f>AH59</f>
        <v>#REF!</v>
      </c>
    </row>
    <row r="91" spans="2:6" x14ac:dyDescent="0.2">
      <c r="B91" s="200"/>
      <c r="C91" s="200"/>
      <c r="D91" s="202"/>
      <c r="F91" s="202"/>
    </row>
    <row r="92" spans="2:6" x14ac:dyDescent="0.2">
      <c r="B92" s="200"/>
      <c r="C92" s="200"/>
      <c r="D92" s="202"/>
      <c r="F92" s="202"/>
    </row>
    <row r="93" spans="2:6" x14ac:dyDescent="0.2">
      <c r="B93" s="200"/>
      <c r="C93" s="200"/>
      <c r="D93" s="202"/>
      <c r="F93" s="202"/>
    </row>
    <row r="94" spans="2:6" x14ac:dyDescent="0.2">
      <c r="B94" s="200"/>
      <c r="C94" s="200"/>
      <c r="D94" s="202"/>
      <c r="F94" s="202"/>
    </row>
    <row r="95" spans="2:6" x14ac:dyDescent="0.2">
      <c r="B95" s="200"/>
      <c r="C95" s="200"/>
      <c r="D95" s="202"/>
      <c r="F95" s="202"/>
    </row>
    <row r="96" spans="2:6" x14ac:dyDescent="0.2">
      <c r="B96" s="200"/>
      <c r="C96" s="200"/>
      <c r="D96" s="202"/>
      <c r="F96" s="202"/>
    </row>
    <row r="97" spans="2:6" x14ac:dyDescent="0.2">
      <c r="B97" s="200"/>
      <c r="C97" s="200"/>
      <c r="D97" s="202"/>
      <c r="F97" s="202"/>
    </row>
    <row r="98" spans="2:6" x14ac:dyDescent="0.2">
      <c r="B98" s="200"/>
      <c r="C98" s="200"/>
      <c r="D98" s="202"/>
      <c r="F98" s="202"/>
    </row>
    <row r="99" spans="2:6" x14ac:dyDescent="0.2">
      <c r="B99" s="200"/>
      <c r="C99" s="200"/>
      <c r="D99" s="202"/>
      <c r="F99" s="202"/>
    </row>
    <row r="100" spans="2:6" x14ac:dyDescent="0.2">
      <c r="B100" s="200"/>
      <c r="C100" s="200"/>
      <c r="D100" s="202"/>
      <c r="F100" s="202"/>
    </row>
  </sheetData>
  <sheetProtection password="E40A" sheet="1" objects="1" scenarios="1"/>
  <mergeCells count="17">
    <mergeCell ref="U6:AH6"/>
    <mergeCell ref="R7:S8"/>
    <mergeCell ref="O7:P8"/>
    <mergeCell ref="B6:B8"/>
    <mergeCell ref="C6:C8"/>
    <mergeCell ref="D6:D8"/>
    <mergeCell ref="F6:S6"/>
    <mergeCell ref="U7:V8"/>
    <mergeCell ref="X7:Y8"/>
    <mergeCell ref="AA7:AB8"/>
    <mergeCell ref="AD7:AE8"/>
    <mergeCell ref="AG7:AH8"/>
    <mergeCell ref="B1:D1"/>
    <mergeCell ref="B5:D5"/>
    <mergeCell ref="F7:G8"/>
    <mergeCell ref="I7:J8"/>
    <mergeCell ref="L7:M8"/>
  </mergeCells>
  <printOptions horizontalCentered="1"/>
  <pageMargins left="0.7" right="0.7" top="0.75" bottom="0.75" header="0.3" footer="0.3"/>
  <pageSetup paperSize="17" scale="54" fitToHeight="0" orientation="landscape" r:id="rId1"/>
  <headerFooter>
    <oddFooter>&amp;LAECOM Technical Services, Inc.
Pocasset, MA&amp;RPage &amp;P of &amp;N
Revised: March 17, 2016</oddFooter>
  </headerFooter>
  <ignoredErrors>
    <ignoredError sqref="G30:V32"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59999389629810485"/>
  </sheetPr>
  <dimension ref="B2:S140"/>
  <sheetViews>
    <sheetView zoomScaleNormal="100" workbookViewId="0"/>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40</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185115</v>
      </c>
      <c r="F9" s="64">
        <f>+MROUND(C9*E9,100)</f>
        <v>185100</v>
      </c>
      <c r="G9" s="77" t="str">
        <f>CONCATENATE(Assumptions!C9*100,"%"," ","of Other Items")</f>
        <v>5% of Other Items</v>
      </c>
      <c r="S9" s="147"/>
    </row>
    <row r="10" spans="2:19" x14ac:dyDescent="0.2">
      <c r="B10" s="50" t="s">
        <v>419</v>
      </c>
      <c r="C10" s="51">
        <v>1</v>
      </c>
      <c r="D10" s="55" t="s">
        <v>34</v>
      </c>
      <c r="E10" s="56">
        <v>1800000</v>
      </c>
      <c r="F10" s="54">
        <f t="shared" ref="F10:F21" si="0">+MROUND(C10*E10,100)</f>
        <v>1800000</v>
      </c>
      <c r="G10" s="99" t="s">
        <v>445</v>
      </c>
      <c r="S10" s="147"/>
    </row>
    <row r="11" spans="2:19" x14ac:dyDescent="0.2">
      <c r="B11" s="50" t="s">
        <v>446</v>
      </c>
      <c r="C11" s="51">
        <v>1</v>
      </c>
      <c r="D11" s="55" t="s">
        <v>34</v>
      </c>
      <c r="E11" s="56">
        <v>150000</v>
      </c>
      <c r="F11" s="54">
        <f t="shared" si="0"/>
        <v>150000</v>
      </c>
      <c r="G11" s="99" t="s">
        <v>447</v>
      </c>
      <c r="S11" s="147"/>
    </row>
    <row r="12" spans="2:19" x14ac:dyDescent="0.2">
      <c r="B12" s="50" t="s">
        <v>423</v>
      </c>
      <c r="C12" s="51">
        <v>1</v>
      </c>
      <c r="D12" s="55" t="s">
        <v>34</v>
      </c>
      <c r="E12" s="56">
        <v>75000</v>
      </c>
      <c r="F12" s="54">
        <f t="shared" si="0"/>
        <v>75000</v>
      </c>
      <c r="G12" s="99"/>
      <c r="S12" s="147"/>
    </row>
    <row r="13" spans="2:19" x14ac:dyDescent="0.2">
      <c r="B13" s="50" t="s">
        <v>448</v>
      </c>
      <c r="C13" s="51">
        <v>1</v>
      </c>
      <c r="D13" s="55" t="s">
        <v>34</v>
      </c>
      <c r="E13" s="56">
        <v>1000000</v>
      </c>
      <c r="F13" s="54">
        <f t="shared" si="0"/>
        <v>1000000</v>
      </c>
      <c r="G13" s="99"/>
      <c r="S13" s="147"/>
    </row>
    <row r="14" spans="2:19" x14ac:dyDescent="0.2">
      <c r="B14" s="50" t="s">
        <v>449</v>
      </c>
      <c r="C14" s="51">
        <v>1</v>
      </c>
      <c r="D14" s="55" t="s">
        <v>34</v>
      </c>
      <c r="E14" s="56">
        <v>75000</v>
      </c>
      <c r="F14" s="54">
        <f t="shared" si="0"/>
        <v>75000</v>
      </c>
      <c r="G14" s="99"/>
      <c r="S14" s="147"/>
    </row>
    <row r="15" spans="2:19" x14ac:dyDescent="0.2">
      <c r="B15" s="50" t="s">
        <v>450</v>
      </c>
      <c r="C15" s="51">
        <v>1</v>
      </c>
      <c r="D15" s="55" t="s">
        <v>34</v>
      </c>
      <c r="E15" s="56">
        <v>52500</v>
      </c>
      <c r="F15" s="54">
        <f t="shared" si="0"/>
        <v>52500</v>
      </c>
      <c r="G15" s="99"/>
      <c r="S15" s="147"/>
    </row>
    <row r="16" spans="2:19" x14ac:dyDescent="0.2">
      <c r="B16" s="50" t="s">
        <v>429</v>
      </c>
      <c r="C16" s="51">
        <v>1</v>
      </c>
      <c r="D16" s="55" t="s">
        <v>34</v>
      </c>
      <c r="E16" s="119">
        <v>150000</v>
      </c>
      <c r="F16" s="54">
        <f t="shared" si="0"/>
        <v>150000</v>
      </c>
      <c r="G16" s="99" t="s">
        <v>11</v>
      </c>
      <c r="S16" s="147"/>
    </row>
    <row r="17" spans="2:19" x14ac:dyDescent="0.2">
      <c r="B17" s="50" t="s">
        <v>430</v>
      </c>
      <c r="C17" s="51">
        <v>1</v>
      </c>
      <c r="D17" s="55" t="s">
        <v>34</v>
      </c>
      <c r="E17" s="56">
        <v>66500</v>
      </c>
      <c r="F17" s="54">
        <f t="shared" si="0"/>
        <v>66500</v>
      </c>
      <c r="G17" s="99" t="s">
        <v>11</v>
      </c>
      <c r="S17" s="147"/>
    </row>
    <row r="18" spans="2:19" x14ac:dyDescent="0.2">
      <c r="B18" s="50" t="s">
        <v>431</v>
      </c>
      <c r="C18" s="51">
        <v>1</v>
      </c>
      <c r="D18" s="55" t="s">
        <v>34</v>
      </c>
      <c r="E18" s="56">
        <v>33250</v>
      </c>
      <c r="F18" s="54">
        <f t="shared" si="0"/>
        <v>33300</v>
      </c>
      <c r="G18" s="99" t="s">
        <v>11</v>
      </c>
      <c r="S18" s="147"/>
    </row>
    <row r="19" spans="2:19" x14ac:dyDescent="0.2">
      <c r="B19" s="50" t="s">
        <v>432</v>
      </c>
      <c r="C19" s="51">
        <v>1</v>
      </c>
      <c r="D19" s="55" t="s">
        <v>34</v>
      </c>
      <c r="E19" s="56">
        <v>225000</v>
      </c>
      <c r="F19" s="54">
        <f t="shared" si="0"/>
        <v>225000</v>
      </c>
      <c r="G19" s="99" t="s">
        <v>11</v>
      </c>
      <c r="S19" s="147"/>
    </row>
    <row r="20" spans="2:19" x14ac:dyDescent="0.2">
      <c r="B20" s="50" t="s">
        <v>434</v>
      </c>
      <c r="C20" s="51">
        <v>1</v>
      </c>
      <c r="D20" s="55" t="s">
        <v>34</v>
      </c>
      <c r="E20" s="56">
        <v>75000</v>
      </c>
      <c r="F20" s="54">
        <f t="shared" si="0"/>
        <v>75000</v>
      </c>
      <c r="G20" s="99" t="s">
        <v>451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ref="F22" si="1">+MROUND(C22*E22,100)</f>
        <v>0</v>
      </c>
      <c r="G22" s="99" t="s">
        <v>11</v>
      </c>
      <c r="S22" s="147"/>
    </row>
    <row r="23" spans="2:19" x14ac:dyDescent="0.2">
      <c r="B23" s="50" t="s">
        <v>11</v>
      </c>
      <c r="C23" s="51">
        <v>0</v>
      </c>
      <c r="D23" s="55"/>
      <c r="E23" s="56">
        <v>0</v>
      </c>
      <c r="F23" s="54">
        <f t="shared" ref="F23" si="2">+MROUND(C23*E23,1000)</f>
        <v>0</v>
      </c>
      <c r="G23" s="99" t="s">
        <v>11</v>
      </c>
      <c r="S23" s="147"/>
    </row>
    <row r="24" spans="2:19" x14ac:dyDescent="0.2">
      <c r="B24" s="72"/>
      <c r="C24" s="63"/>
      <c r="D24" s="90" t="s">
        <v>3</v>
      </c>
      <c r="E24" s="68"/>
      <c r="F24" s="93">
        <f>+SUM(F9:F23)</f>
        <v>3887400</v>
      </c>
      <c r="G24" s="98"/>
    </row>
    <row r="25" spans="2:19" x14ac:dyDescent="0.2">
      <c r="B25" s="72"/>
      <c r="D25" s="91" t="str">
        <f>Assumptions!B10</f>
        <v>Overhead and Profit</v>
      </c>
      <c r="E25" s="95">
        <f>Assumptions!C10</f>
        <v>0.22</v>
      </c>
      <c r="F25" s="67">
        <f>+MROUND(F24*E25,100)</f>
        <v>855200</v>
      </c>
      <c r="G25" s="77"/>
    </row>
    <row r="26" spans="2:19" x14ac:dyDescent="0.2">
      <c r="B26" s="72"/>
      <c r="D26" s="91" t="s">
        <v>3</v>
      </c>
      <c r="E26" s="66"/>
      <c r="F26" s="92">
        <f>F25+F24</f>
        <v>4742600</v>
      </c>
      <c r="G26" s="77"/>
    </row>
    <row r="27" spans="2:19" x14ac:dyDescent="0.2">
      <c r="B27" s="72"/>
      <c r="D27" s="91" t="str">
        <f>Assumptions!B11</f>
        <v>Contingency</v>
      </c>
      <c r="E27" s="96">
        <f>Assumptions!C11</f>
        <v>0.25</v>
      </c>
      <c r="F27" s="64">
        <f>+MROUND((F26)*E27,100)</f>
        <v>1185700</v>
      </c>
      <c r="G27" s="77"/>
    </row>
    <row r="28" spans="2:19" x14ac:dyDescent="0.2">
      <c r="B28" s="72"/>
      <c r="D28" s="91" t="s">
        <v>36</v>
      </c>
      <c r="E28" s="96"/>
      <c r="F28" s="93">
        <f>SUM(F26:F27)</f>
        <v>5928300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296400</v>
      </c>
      <c r="G30" s="77"/>
    </row>
    <row r="31" spans="2:19" x14ac:dyDescent="0.2">
      <c r="B31" s="72"/>
      <c r="D31" s="91" t="str">
        <f>Assumptions!B14</f>
        <v>Engineering - Planning/Consultation</v>
      </c>
      <c r="E31" s="96">
        <f>Assumptions!C14</f>
        <v>0.05</v>
      </c>
      <c r="F31" s="64">
        <f t="shared" ref="F31:F33" si="3">+MROUND($F$28*E31,100)</f>
        <v>296400</v>
      </c>
      <c r="G31" s="77"/>
    </row>
    <row r="32" spans="2:19" x14ac:dyDescent="0.2">
      <c r="B32" s="72"/>
      <c r="D32" s="91" t="str">
        <f>Assumptions!B15</f>
        <v>Engineering - Design</v>
      </c>
      <c r="E32" s="96">
        <f>Assumptions!C15</f>
        <v>0.1</v>
      </c>
      <c r="F32" s="64">
        <f t="shared" si="3"/>
        <v>592800</v>
      </c>
      <c r="G32" s="77"/>
    </row>
    <row r="33" spans="2:7" x14ac:dyDescent="0.2">
      <c r="B33" s="72"/>
      <c r="D33" s="91" t="str">
        <f>Assumptions!B16</f>
        <v>Engineering - Construction</v>
      </c>
      <c r="E33" s="96">
        <f>Assumptions!C16</f>
        <v>0.15</v>
      </c>
      <c r="F33" s="64">
        <f t="shared" si="3"/>
        <v>889200</v>
      </c>
      <c r="G33" s="77"/>
    </row>
    <row r="34" spans="2:7" x14ac:dyDescent="0.2">
      <c r="B34" s="32"/>
      <c r="C34" s="63"/>
      <c r="D34" s="94" t="s">
        <v>19</v>
      </c>
      <c r="E34" s="68"/>
      <c r="F34" s="124">
        <f>SUM(F28:F33)</f>
        <v>8003100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Wastewater Treatment Facility - Meetinghouse Pond (223 Beach Road)</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161</v>
      </c>
      <c r="C45" s="51">
        <f>1*2080</f>
        <v>2080</v>
      </c>
      <c r="D45" s="55" t="s">
        <v>47</v>
      </c>
      <c r="E45" s="56">
        <v>65</v>
      </c>
      <c r="F45" s="54">
        <f t="shared" ref="F45:F52" si="4">+MROUND(C45*E45,100)</f>
        <v>135200</v>
      </c>
      <c r="G45" s="58" t="s">
        <v>452</v>
      </c>
    </row>
    <row r="46" spans="2:7" x14ac:dyDescent="0.2">
      <c r="B46" s="50" t="s">
        <v>436</v>
      </c>
      <c r="C46" s="51">
        <v>1</v>
      </c>
      <c r="D46" s="55" t="s">
        <v>34</v>
      </c>
      <c r="E46" s="56">
        <v>20000</v>
      </c>
      <c r="F46" s="54">
        <f t="shared" si="4"/>
        <v>20000</v>
      </c>
      <c r="G46" s="99"/>
    </row>
    <row r="47" spans="2:7" x14ac:dyDescent="0.2">
      <c r="B47" s="50" t="s">
        <v>438</v>
      </c>
      <c r="C47" s="51">
        <v>1</v>
      </c>
      <c r="D47" s="55" t="s">
        <v>34</v>
      </c>
      <c r="E47" s="56">
        <f>110/31*20805*0.15*1.2</f>
        <v>13288.354838709674</v>
      </c>
      <c r="F47" s="54">
        <f t="shared" si="4"/>
        <v>13300</v>
      </c>
      <c r="G47" s="99" t="s">
        <v>11</v>
      </c>
    </row>
    <row r="48" spans="2:7" x14ac:dyDescent="0.2">
      <c r="B48" s="50" t="s">
        <v>439</v>
      </c>
      <c r="C48" s="51">
        <v>1</v>
      </c>
      <c r="D48" s="55" t="s">
        <v>34</v>
      </c>
      <c r="E48" s="56">
        <f>48000*110/200</f>
        <v>26400</v>
      </c>
      <c r="F48" s="54">
        <f t="shared" si="4"/>
        <v>26400</v>
      </c>
      <c r="G48" s="99" t="s">
        <v>11</v>
      </c>
    </row>
    <row r="49" spans="2:7" x14ac:dyDescent="0.2">
      <c r="B49" s="50" t="s">
        <v>453</v>
      </c>
      <c r="C49" s="51">
        <v>1</v>
      </c>
      <c r="D49" s="55" t="s">
        <v>34</v>
      </c>
      <c r="E49" s="56">
        <v>24000</v>
      </c>
      <c r="F49" s="54">
        <f t="shared" si="4"/>
        <v>24000</v>
      </c>
      <c r="G49" s="99" t="s">
        <v>11</v>
      </c>
    </row>
    <row r="50" spans="2:7" x14ac:dyDescent="0.2">
      <c r="B50" s="50" t="s">
        <v>442</v>
      </c>
      <c r="C50" s="51">
        <v>1</v>
      </c>
      <c r="D50" s="55" t="s">
        <v>34</v>
      </c>
      <c r="E50" s="56">
        <f>50000*110/250</f>
        <v>22000</v>
      </c>
      <c r="F50" s="54">
        <f t="shared" si="4"/>
        <v>22000</v>
      </c>
      <c r="G50" s="99" t="s">
        <v>11</v>
      </c>
    </row>
    <row r="51" spans="2:7" x14ac:dyDescent="0.2">
      <c r="B51" s="50" t="s">
        <v>443</v>
      </c>
      <c r="C51" s="51">
        <v>1</v>
      </c>
      <c r="D51" s="55" t="s">
        <v>34</v>
      </c>
      <c r="E51" s="56">
        <f>10000</f>
        <v>10000</v>
      </c>
      <c r="F51" s="54">
        <f t="shared" si="4"/>
        <v>10000</v>
      </c>
      <c r="G51" s="99" t="s">
        <v>11</v>
      </c>
    </row>
    <row r="52" spans="2:7" x14ac:dyDescent="0.2">
      <c r="B52" s="50" t="s">
        <v>11</v>
      </c>
      <c r="C52" s="51">
        <v>0</v>
      </c>
      <c r="D52" s="55"/>
      <c r="E52" s="56">
        <v>0</v>
      </c>
      <c r="F52" s="54">
        <f t="shared" si="4"/>
        <v>0</v>
      </c>
      <c r="G52" s="99" t="s">
        <v>11</v>
      </c>
    </row>
    <row r="53" spans="2:7" x14ac:dyDescent="0.2">
      <c r="B53" s="50" t="s">
        <v>11</v>
      </c>
      <c r="C53" s="51">
        <v>0</v>
      </c>
      <c r="D53" s="55"/>
      <c r="E53" s="56">
        <v>0</v>
      </c>
      <c r="F53" s="54">
        <f t="shared" ref="F53:F54" si="5">+MROUND(C53*E53,100)</f>
        <v>0</v>
      </c>
      <c r="G53" s="99" t="s">
        <v>11</v>
      </c>
    </row>
    <row r="54" spans="2:7" x14ac:dyDescent="0.2">
      <c r="B54" s="50" t="s">
        <v>11</v>
      </c>
      <c r="C54" s="51">
        <v>0</v>
      </c>
      <c r="D54" s="55"/>
      <c r="E54" s="56">
        <v>0</v>
      </c>
      <c r="F54" s="54">
        <f t="shared" si="5"/>
        <v>0</v>
      </c>
      <c r="G54" s="99" t="s">
        <v>11</v>
      </c>
    </row>
    <row r="55" spans="2:7" x14ac:dyDescent="0.2">
      <c r="B55" s="72"/>
      <c r="C55" s="63"/>
      <c r="D55" s="90" t="s">
        <v>3</v>
      </c>
      <c r="E55" s="68"/>
      <c r="F55" s="93">
        <f>SUM(F45:F54)</f>
        <v>250900</v>
      </c>
      <c r="G55" s="98"/>
    </row>
    <row r="56" spans="2:7" x14ac:dyDescent="0.2">
      <c r="B56" s="72"/>
      <c r="D56" s="91" t="str">
        <f>Assumptions!B21</f>
        <v>Contingency</v>
      </c>
      <c r="E56" s="95">
        <f>Assumptions!C21</f>
        <v>0.1</v>
      </c>
      <c r="F56" s="64">
        <f>+MROUND((F55)*E56,100)</f>
        <v>25100</v>
      </c>
      <c r="G56" s="77"/>
    </row>
    <row r="57" spans="2:7" x14ac:dyDescent="0.2">
      <c r="B57" s="72"/>
      <c r="D57" s="91" t="s">
        <v>3</v>
      </c>
      <c r="E57" s="66"/>
      <c r="F57" s="93">
        <f>SUM(F55:F56)</f>
        <v>276000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8300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284300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Wastewater Treatment Facility - Meetinghouse Pond (223 Beach Road)</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2750</v>
      </c>
      <c r="F74" s="111">
        <f>+MROUND(C74*E74,100)</f>
        <v>2800</v>
      </c>
      <c r="G74" s="112" t="str">
        <f>CONCATENATE(Assumptions!C33*100,"%"," ","of Other Items")</f>
        <v>5% of Other Items</v>
      </c>
    </row>
    <row r="75" spans="2:7" x14ac:dyDescent="0.2">
      <c r="B75" s="50" t="s">
        <v>33</v>
      </c>
      <c r="C75" s="51">
        <v>1</v>
      </c>
      <c r="D75" s="55" t="s">
        <v>56</v>
      </c>
      <c r="E75" s="56">
        <f>110000*2.5/5</f>
        <v>55000</v>
      </c>
      <c r="F75" s="54">
        <f t="shared" ref="F75" si="6">+MROUND(C75*E75,100)</f>
        <v>55000</v>
      </c>
      <c r="G75" s="99" t="s">
        <v>444</v>
      </c>
    </row>
    <row r="76" spans="2:7" x14ac:dyDescent="0.2">
      <c r="B76" s="50" t="s">
        <v>11</v>
      </c>
      <c r="C76" s="51">
        <v>0</v>
      </c>
      <c r="D76" s="55"/>
      <c r="E76" s="56">
        <v>0</v>
      </c>
      <c r="F76" s="54">
        <f t="shared" ref="F76:F83" si="7">+MROUND(C76*E76,100)</f>
        <v>0</v>
      </c>
      <c r="G76" s="99" t="s">
        <v>11</v>
      </c>
    </row>
    <row r="77" spans="2:7" x14ac:dyDescent="0.2">
      <c r="B77" s="50" t="s">
        <v>11</v>
      </c>
      <c r="C77" s="51">
        <v>0</v>
      </c>
      <c r="D77" s="55"/>
      <c r="E77" s="56">
        <v>0</v>
      </c>
      <c r="F77" s="54">
        <f t="shared" si="7"/>
        <v>0</v>
      </c>
      <c r="G77" s="99" t="s">
        <v>11</v>
      </c>
    </row>
    <row r="78" spans="2:7" x14ac:dyDescent="0.2">
      <c r="B78" s="50" t="s">
        <v>11</v>
      </c>
      <c r="C78" s="51">
        <v>0</v>
      </c>
      <c r="D78" s="55"/>
      <c r="E78" s="56">
        <v>0</v>
      </c>
      <c r="F78" s="54">
        <f t="shared" si="7"/>
        <v>0</v>
      </c>
      <c r="G78" s="99" t="s">
        <v>11</v>
      </c>
    </row>
    <row r="79" spans="2:7" x14ac:dyDescent="0.2">
      <c r="B79" s="50" t="s">
        <v>11</v>
      </c>
      <c r="C79" s="51">
        <v>0</v>
      </c>
      <c r="D79" s="55"/>
      <c r="E79" s="56">
        <v>0</v>
      </c>
      <c r="F79" s="54">
        <f t="shared" si="7"/>
        <v>0</v>
      </c>
      <c r="G79" s="99" t="s">
        <v>11</v>
      </c>
    </row>
    <row r="80" spans="2:7" x14ac:dyDescent="0.2">
      <c r="B80" s="50" t="s">
        <v>11</v>
      </c>
      <c r="C80" s="51">
        <v>0</v>
      </c>
      <c r="D80" s="55"/>
      <c r="E80" s="56">
        <v>0</v>
      </c>
      <c r="F80" s="54">
        <f t="shared" si="7"/>
        <v>0</v>
      </c>
      <c r="G80" s="99" t="s">
        <v>11</v>
      </c>
    </row>
    <row r="81" spans="2:7" x14ac:dyDescent="0.2">
      <c r="B81" s="50" t="s">
        <v>11</v>
      </c>
      <c r="C81" s="51">
        <v>0</v>
      </c>
      <c r="D81" s="55"/>
      <c r="E81" s="56">
        <v>0</v>
      </c>
      <c r="F81" s="54">
        <f t="shared" si="7"/>
        <v>0</v>
      </c>
      <c r="G81" s="99" t="s">
        <v>11</v>
      </c>
    </row>
    <row r="82" spans="2:7" x14ac:dyDescent="0.2">
      <c r="B82" s="50" t="s">
        <v>11</v>
      </c>
      <c r="C82" s="51">
        <v>0</v>
      </c>
      <c r="D82" s="55"/>
      <c r="E82" s="56">
        <v>0</v>
      </c>
      <c r="F82" s="54">
        <f t="shared" si="7"/>
        <v>0</v>
      </c>
      <c r="G82" s="99" t="s">
        <v>11</v>
      </c>
    </row>
    <row r="83" spans="2:7" x14ac:dyDescent="0.2">
      <c r="B83" s="50" t="s">
        <v>11</v>
      </c>
      <c r="C83" s="51">
        <v>0</v>
      </c>
      <c r="D83" s="55"/>
      <c r="E83" s="56">
        <v>0</v>
      </c>
      <c r="F83" s="54">
        <f t="shared" si="7"/>
        <v>0</v>
      </c>
      <c r="G83" s="99" t="s">
        <v>11</v>
      </c>
    </row>
    <row r="84" spans="2:7" x14ac:dyDescent="0.2">
      <c r="B84" s="72"/>
      <c r="C84" s="63"/>
      <c r="D84" s="90" t="s">
        <v>3</v>
      </c>
      <c r="E84" s="68"/>
      <c r="F84" s="93">
        <f>SUM(F74:F83)</f>
        <v>57800</v>
      </c>
      <c r="G84" s="98"/>
    </row>
    <row r="85" spans="2:7" x14ac:dyDescent="0.2">
      <c r="B85" s="72"/>
      <c r="D85" s="91" t="str">
        <f>Assumptions!B34</f>
        <v>Overhead and Profit</v>
      </c>
      <c r="E85" s="95">
        <f>Assumptions!C34</f>
        <v>0.22</v>
      </c>
      <c r="F85" s="67">
        <f>+MROUND(F84*E85,100)</f>
        <v>12700</v>
      </c>
      <c r="G85" s="77"/>
    </row>
    <row r="86" spans="2:7" x14ac:dyDescent="0.2">
      <c r="B86" s="72"/>
      <c r="D86" s="91" t="s">
        <v>3</v>
      </c>
      <c r="E86" s="66"/>
      <c r="F86" s="92">
        <f>F85+F84</f>
        <v>70500</v>
      </c>
      <c r="G86" s="77"/>
    </row>
    <row r="87" spans="2:7" x14ac:dyDescent="0.2">
      <c r="B87" s="72"/>
      <c r="D87" s="91" t="str">
        <f>Assumptions!B35</f>
        <v>Contingency</v>
      </c>
      <c r="E87" s="96">
        <f>Assumptions!C35</f>
        <v>0.3</v>
      </c>
      <c r="F87" s="64">
        <f>+MROUND((F86)*E87,100)</f>
        <v>21200</v>
      </c>
      <c r="G87" s="77"/>
    </row>
    <row r="88" spans="2:7" x14ac:dyDescent="0.2">
      <c r="B88" s="72"/>
      <c r="D88" s="91" t="s">
        <v>36</v>
      </c>
      <c r="E88" s="66"/>
      <c r="F88" s="93">
        <f>SUM(F86:F87)</f>
        <v>91700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2800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9200</v>
      </c>
      <c r="G92" s="77"/>
    </row>
    <row r="93" spans="2:7" x14ac:dyDescent="0.2">
      <c r="B93" s="72"/>
      <c r="D93" s="91" t="str">
        <f>Assumptions!B40</f>
        <v>Engineering - Construction</v>
      </c>
      <c r="E93" s="96">
        <f>Assumptions!C40</f>
        <v>0.15</v>
      </c>
      <c r="F93" s="64">
        <f>+MROUND($F$88*E93,100)</f>
        <v>13800</v>
      </c>
      <c r="G93" s="77"/>
    </row>
    <row r="94" spans="2:7" x14ac:dyDescent="0.2">
      <c r="B94" s="32"/>
      <c r="C94" s="63"/>
      <c r="D94" s="94" t="s">
        <v>58</v>
      </c>
      <c r="E94" s="68"/>
      <c r="F94" s="124">
        <f>SUM(F88:F93)</f>
        <v>117500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Wastewater Treatment Facility - Meetinghouse Pond (223 Beach Road)</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152</v>
      </c>
      <c r="C105" s="51">
        <v>0</v>
      </c>
      <c r="D105" s="55" t="s">
        <v>47</v>
      </c>
      <c r="E105" s="56">
        <v>65</v>
      </c>
      <c r="F105" s="54">
        <f>+MROUND(C105*E105,100)</f>
        <v>0</v>
      </c>
      <c r="G105" s="99" t="s">
        <v>226</v>
      </c>
    </row>
    <row r="106" spans="2:7" x14ac:dyDescent="0.2">
      <c r="B106" s="50" t="s">
        <v>148</v>
      </c>
      <c r="C106" s="51">
        <v>365</v>
      </c>
      <c r="D106" s="55" t="s">
        <v>56</v>
      </c>
      <c r="E106" s="56"/>
      <c r="F106" s="54">
        <f>+MROUND(C106*E106,100)</f>
        <v>0</v>
      </c>
      <c r="G106" s="99" t="s">
        <v>143</v>
      </c>
    </row>
    <row r="107" spans="2:7" x14ac:dyDescent="0.2">
      <c r="B107" s="50" t="s">
        <v>154</v>
      </c>
      <c r="C107" s="51">
        <v>0</v>
      </c>
      <c r="D107" s="55" t="s">
        <v>47</v>
      </c>
      <c r="E107" s="56">
        <v>65</v>
      </c>
      <c r="F107" s="54">
        <f t="shared" ref="F107:F113" si="8">+MROUND(C107*E107,100)</f>
        <v>0</v>
      </c>
      <c r="G107" s="99" t="s">
        <v>226</v>
      </c>
    </row>
    <row r="108" spans="2:7" x14ac:dyDescent="0.2">
      <c r="B108" s="50" t="s">
        <v>149</v>
      </c>
      <c r="C108" s="51">
        <v>52</v>
      </c>
      <c r="D108" s="55" t="s">
        <v>56</v>
      </c>
      <c r="E108" s="56">
        <v>45</v>
      </c>
      <c r="F108" s="54">
        <f t="shared" si="8"/>
        <v>2300</v>
      </c>
      <c r="G108" s="99" t="s">
        <v>144</v>
      </c>
    </row>
    <row r="109" spans="2:7" x14ac:dyDescent="0.2">
      <c r="B109" s="50" t="s">
        <v>153</v>
      </c>
      <c r="C109" s="51">
        <v>0</v>
      </c>
      <c r="D109" s="55" t="s">
        <v>47</v>
      </c>
      <c r="E109" s="56">
        <v>65</v>
      </c>
      <c r="F109" s="54">
        <f t="shared" si="8"/>
        <v>0</v>
      </c>
      <c r="G109" s="99" t="s">
        <v>226</v>
      </c>
    </row>
    <row r="110" spans="2:7" ht="25.5" x14ac:dyDescent="0.2">
      <c r="B110" s="50" t="s">
        <v>150</v>
      </c>
      <c r="C110" s="51">
        <v>12</v>
      </c>
      <c r="D110" s="55" t="s">
        <v>56</v>
      </c>
      <c r="E110" s="56">
        <v>500</v>
      </c>
      <c r="F110" s="54">
        <f t="shared" si="8"/>
        <v>6000</v>
      </c>
      <c r="G110" s="99" t="s">
        <v>145</v>
      </c>
    </row>
    <row r="111" spans="2:7" x14ac:dyDescent="0.2">
      <c r="B111" s="50" t="s">
        <v>155</v>
      </c>
      <c r="C111" s="51">
        <v>0</v>
      </c>
      <c r="D111" s="55" t="s">
        <v>47</v>
      </c>
      <c r="E111" s="56">
        <v>65</v>
      </c>
      <c r="F111" s="54">
        <f t="shared" si="8"/>
        <v>0</v>
      </c>
      <c r="G111" s="99" t="s">
        <v>226</v>
      </c>
    </row>
    <row r="112" spans="2:7" ht="25.5" x14ac:dyDescent="0.2">
      <c r="B112" s="50" t="s">
        <v>151</v>
      </c>
      <c r="C112" s="51">
        <v>4</v>
      </c>
      <c r="D112" s="55" t="s">
        <v>56</v>
      </c>
      <c r="E112" s="56">
        <v>175</v>
      </c>
      <c r="F112" s="54">
        <f t="shared" si="8"/>
        <v>700</v>
      </c>
      <c r="G112" s="99" t="s">
        <v>146</v>
      </c>
    </row>
    <row r="113" spans="2:7" x14ac:dyDescent="0.2">
      <c r="B113" s="50" t="s">
        <v>160</v>
      </c>
      <c r="C113" s="51">
        <v>80</v>
      </c>
      <c r="D113" s="55" t="s">
        <v>47</v>
      </c>
      <c r="E113" s="56">
        <v>65</v>
      </c>
      <c r="F113" s="54">
        <f t="shared" si="8"/>
        <v>5200</v>
      </c>
      <c r="G113" s="99"/>
    </row>
    <row r="114" spans="2:7" x14ac:dyDescent="0.2">
      <c r="B114" s="50" t="s">
        <v>11</v>
      </c>
      <c r="C114" s="51">
        <v>0</v>
      </c>
      <c r="D114" s="55"/>
      <c r="E114" s="56">
        <v>0</v>
      </c>
      <c r="F114" s="54">
        <v>0</v>
      </c>
      <c r="G114" s="99"/>
    </row>
    <row r="115" spans="2:7" x14ac:dyDescent="0.2">
      <c r="B115" s="72"/>
      <c r="C115" s="63"/>
      <c r="D115" s="90" t="s">
        <v>3</v>
      </c>
      <c r="E115" s="68"/>
      <c r="F115" s="93">
        <f>SUM(F105:F114)</f>
        <v>14200</v>
      </c>
      <c r="G115" s="98"/>
    </row>
    <row r="116" spans="2:7" x14ac:dyDescent="0.2">
      <c r="B116" s="72"/>
      <c r="D116" s="91" t="str">
        <f>Assumptions!B45</f>
        <v>Contingency</v>
      </c>
      <c r="E116" s="95">
        <f>Assumptions!C45</f>
        <v>0.1</v>
      </c>
      <c r="F116" s="64">
        <f>+MROUND((F115)*E116,100)</f>
        <v>1400</v>
      </c>
      <c r="G116" s="77"/>
    </row>
    <row r="117" spans="2:7" x14ac:dyDescent="0.2">
      <c r="B117" s="72"/>
      <c r="D117" s="91" t="s">
        <v>3</v>
      </c>
      <c r="E117" s="66"/>
      <c r="F117" s="93">
        <f>SUM(F115:F116)</f>
        <v>15600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800</v>
      </c>
      <c r="G119" s="77"/>
    </row>
    <row r="120" spans="2:7" x14ac:dyDescent="0.2">
      <c r="B120" s="72"/>
      <c r="D120" s="91" t="str">
        <f>Assumptions!B48</f>
        <v>Engineering - Planning/Consultation</v>
      </c>
      <c r="E120" s="96">
        <f>Assumptions!C48</f>
        <v>0.03</v>
      </c>
      <c r="F120" s="64">
        <f>+MROUND($F$117*E120,100)</f>
        <v>500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16900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Units!$B$7:$B$22</xm:f>
          </x14:formula1>
          <xm:sqref>D22:D23 D76:D83 D53:D54 D114</xm:sqref>
        </x14:dataValidation>
        <x14:dataValidation type="list" allowBlank="1" showInputMessage="1" showErrorMessage="1">
          <x14:formula1>
            <xm:f>[1]Units!#REF!</xm:f>
          </x14:formula1>
          <xm:sqref>D10:D21 D45:D52 D75 D105:D113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59999389629810485"/>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64</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27500</v>
      </c>
      <c r="F9" s="64">
        <f>+MROUND(C9*E9,100)</f>
        <v>27500</v>
      </c>
      <c r="G9" s="77" t="str">
        <f>CONCATENATE(Assumptions!C9*100,"%"," ","of Other Items")</f>
        <v>5% of Other Items</v>
      </c>
      <c r="S9" s="147"/>
    </row>
    <row r="10" spans="2:19" x14ac:dyDescent="0.2">
      <c r="B10" s="50" t="s">
        <v>164</v>
      </c>
      <c r="C10" s="51">
        <v>1</v>
      </c>
      <c r="D10" s="55" t="s">
        <v>31</v>
      </c>
      <c r="E10" s="56">
        <f>110000*5</f>
        <v>550000</v>
      </c>
      <c r="F10" s="54">
        <f t="shared" ref="F10" si="0">+MROUND(C10*E10,100)</f>
        <v>550000</v>
      </c>
      <c r="G10" s="99" t="s">
        <v>163</v>
      </c>
      <c r="S10" s="147"/>
    </row>
    <row r="11" spans="2:19" x14ac:dyDescent="0.2">
      <c r="B11" s="50" t="s">
        <v>11</v>
      </c>
      <c r="C11" s="51">
        <v>0</v>
      </c>
      <c r="D11" s="55"/>
      <c r="E11" s="56">
        <v>0</v>
      </c>
      <c r="F11" s="54">
        <f t="shared" ref="F11:F22" si="1">+MROUND(C11*E11,100)</f>
        <v>0</v>
      </c>
      <c r="G11" s="99" t="s">
        <v>11</v>
      </c>
      <c r="S11" s="147"/>
    </row>
    <row r="12" spans="2:19" x14ac:dyDescent="0.2">
      <c r="B12" s="50" t="s">
        <v>11</v>
      </c>
      <c r="C12" s="51">
        <v>0</v>
      </c>
      <c r="D12" s="55"/>
      <c r="E12" s="56">
        <v>0</v>
      </c>
      <c r="F12" s="54">
        <f t="shared" si="1"/>
        <v>0</v>
      </c>
      <c r="G12" s="99" t="s">
        <v>11</v>
      </c>
      <c r="S12" s="147"/>
    </row>
    <row r="13" spans="2:19" x14ac:dyDescent="0.2">
      <c r="B13" s="50" t="s">
        <v>11</v>
      </c>
      <c r="C13" s="51">
        <v>0</v>
      </c>
      <c r="D13" s="55"/>
      <c r="E13" s="56">
        <v>0</v>
      </c>
      <c r="F13" s="54">
        <f t="shared" si="1"/>
        <v>0</v>
      </c>
      <c r="G13" s="99" t="s">
        <v>11</v>
      </c>
      <c r="S13" s="147"/>
    </row>
    <row r="14" spans="2:19" x14ac:dyDescent="0.2">
      <c r="B14" s="50" t="s">
        <v>11</v>
      </c>
      <c r="C14" s="51">
        <v>0</v>
      </c>
      <c r="D14" s="55"/>
      <c r="E14" s="56">
        <v>0</v>
      </c>
      <c r="F14" s="54">
        <f t="shared" si="1"/>
        <v>0</v>
      </c>
      <c r="G14" s="99" t="s">
        <v>11</v>
      </c>
      <c r="S14" s="147"/>
    </row>
    <row r="15" spans="2:19" x14ac:dyDescent="0.2">
      <c r="B15" s="50" t="s">
        <v>11</v>
      </c>
      <c r="C15" s="51">
        <v>0</v>
      </c>
      <c r="D15" s="55"/>
      <c r="E15" s="56">
        <v>0</v>
      </c>
      <c r="F15" s="54">
        <f t="shared" si="1"/>
        <v>0</v>
      </c>
      <c r="G15" s="99" t="s">
        <v>11</v>
      </c>
      <c r="S15" s="147"/>
    </row>
    <row r="16" spans="2:19" x14ac:dyDescent="0.2">
      <c r="B16" s="50" t="s">
        <v>11</v>
      </c>
      <c r="C16" s="51">
        <v>0</v>
      </c>
      <c r="D16" s="55"/>
      <c r="E16" s="119">
        <v>0</v>
      </c>
      <c r="F16" s="54">
        <f t="shared" si="1"/>
        <v>0</v>
      </c>
      <c r="G16" s="99" t="s">
        <v>11</v>
      </c>
      <c r="S16" s="147"/>
    </row>
    <row r="17" spans="2:19" x14ac:dyDescent="0.2">
      <c r="B17" s="50" t="s">
        <v>11</v>
      </c>
      <c r="C17" s="51">
        <v>0</v>
      </c>
      <c r="D17" s="55"/>
      <c r="E17" s="56">
        <v>0</v>
      </c>
      <c r="F17" s="54">
        <f t="shared" si="1"/>
        <v>0</v>
      </c>
      <c r="G17" s="99" t="s">
        <v>11</v>
      </c>
      <c r="S17" s="147"/>
    </row>
    <row r="18" spans="2:19" x14ac:dyDescent="0.2">
      <c r="B18" s="50" t="s">
        <v>11</v>
      </c>
      <c r="C18" s="51">
        <v>0</v>
      </c>
      <c r="D18" s="55"/>
      <c r="E18" s="56">
        <v>0</v>
      </c>
      <c r="F18" s="54">
        <f t="shared" si="1"/>
        <v>0</v>
      </c>
      <c r="G18" s="99" t="s">
        <v>11</v>
      </c>
      <c r="S18" s="147"/>
    </row>
    <row r="19" spans="2:19" x14ac:dyDescent="0.2">
      <c r="B19" s="50" t="s">
        <v>11</v>
      </c>
      <c r="C19" s="51">
        <v>0</v>
      </c>
      <c r="D19" s="55"/>
      <c r="E19" s="56">
        <v>0</v>
      </c>
      <c r="F19" s="54">
        <f t="shared" si="1"/>
        <v>0</v>
      </c>
      <c r="G19" s="99" t="s">
        <v>11</v>
      </c>
      <c r="S19" s="147"/>
    </row>
    <row r="20" spans="2:19" x14ac:dyDescent="0.2">
      <c r="B20" s="50" t="s">
        <v>11</v>
      </c>
      <c r="C20" s="51">
        <v>0</v>
      </c>
      <c r="D20" s="55"/>
      <c r="E20" s="56">
        <v>0</v>
      </c>
      <c r="F20" s="54">
        <f t="shared" si="1"/>
        <v>0</v>
      </c>
      <c r="G20" s="99" t="s">
        <v>11</v>
      </c>
      <c r="S20" s="147"/>
    </row>
    <row r="21" spans="2:19" x14ac:dyDescent="0.2">
      <c r="B21" s="50" t="s">
        <v>11</v>
      </c>
      <c r="C21" s="51">
        <v>0</v>
      </c>
      <c r="D21" s="55"/>
      <c r="E21" s="56">
        <v>0</v>
      </c>
      <c r="F21" s="54">
        <f t="shared" si="1"/>
        <v>0</v>
      </c>
      <c r="G21" s="99" t="s">
        <v>11</v>
      </c>
      <c r="S21" s="147"/>
    </row>
    <row r="22" spans="2:19" x14ac:dyDescent="0.2">
      <c r="B22" s="50" t="s">
        <v>11</v>
      </c>
      <c r="C22" s="51">
        <v>0</v>
      </c>
      <c r="D22" s="55"/>
      <c r="E22" s="56">
        <v>0</v>
      </c>
      <c r="F22" s="54">
        <f t="shared" si="1"/>
        <v>0</v>
      </c>
      <c r="G22" s="99" t="s">
        <v>11</v>
      </c>
      <c r="S22" s="147"/>
    </row>
    <row r="23" spans="2:19" x14ac:dyDescent="0.2">
      <c r="B23" s="50" t="s">
        <v>11</v>
      </c>
      <c r="C23" s="51">
        <v>0</v>
      </c>
      <c r="D23" s="55"/>
      <c r="E23" s="56">
        <v>0</v>
      </c>
      <c r="F23" s="54">
        <f t="shared" ref="F23" si="2">+MROUND(C23*E23,1000)</f>
        <v>0</v>
      </c>
      <c r="G23" s="99" t="s">
        <v>11</v>
      </c>
      <c r="S23" s="147"/>
    </row>
    <row r="24" spans="2:19" x14ac:dyDescent="0.2">
      <c r="B24" s="72"/>
      <c r="C24" s="63"/>
      <c r="D24" s="90" t="s">
        <v>3</v>
      </c>
      <c r="E24" s="68"/>
      <c r="F24" s="93">
        <f>+SUM(F9:F23)</f>
        <v>577500</v>
      </c>
      <c r="G24" s="98"/>
    </row>
    <row r="25" spans="2:19" x14ac:dyDescent="0.2">
      <c r="B25" s="72"/>
      <c r="D25" s="91" t="str">
        <f>Assumptions!B10</f>
        <v>Overhead and Profit</v>
      </c>
      <c r="E25" s="95">
        <f>Assumptions!C10</f>
        <v>0.22</v>
      </c>
      <c r="F25" s="67">
        <f>+MROUND(F24*E25,100)</f>
        <v>127100</v>
      </c>
      <c r="G25" s="77"/>
    </row>
    <row r="26" spans="2:19" x14ac:dyDescent="0.2">
      <c r="B26" s="72"/>
      <c r="D26" s="91" t="s">
        <v>3</v>
      </c>
      <c r="E26" s="66"/>
      <c r="F26" s="92">
        <f>F25+F24</f>
        <v>704600</v>
      </c>
      <c r="G26" s="77"/>
    </row>
    <row r="27" spans="2:19" x14ac:dyDescent="0.2">
      <c r="B27" s="72"/>
      <c r="D27" s="91" t="str">
        <f>Assumptions!B11</f>
        <v>Contingency</v>
      </c>
      <c r="E27" s="96">
        <f>Assumptions!C11</f>
        <v>0.25</v>
      </c>
      <c r="F27" s="64">
        <f>+MROUND((F26)*E27,100)</f>
        <v>176200</v>
      </c>
      <c r="G27" s="77"/>
    </row>
    <row r="28" spans="2:19" x14ac:dyDescent="0.2">
      <c r="B28" s="72"/>
      <c r="D28" s="91" t="s">
        <v>36</v>
      </c>
      <c r="E28" s="96"/>
      <c r="F28" s="93">
        <f>SUM(F26:F27)</f>
        <v>880800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44000</v>
      </c>
      <c r="G30" s="77"/>
    </row>
    <row r="31" spans="2:19" x14ac:dyDescent="0.2">
      <c r="B31" s="72"/>
      <c r="D31" s="91" t="str">
        <f>Assumptions!B14</f>
        <v>Engineering - Planning/Consultation</v>
      </c>
      <c r="E31" s="96">
        <f>Assumptions!C14</f>
        <v>0.05</v>
      </c>
      <c r="F31" s="64">
        <f t="shared" ref="F31:F33" si="3">+MROUND($F$28*E31,100)</f>
        <v>44000</v>
      </c>
      <c r="G31" s="77"/>
    </row>
    <row r="32" spans="2:19" x14ac:dyDescent="0.2">
      <c r="B32" s="72"/>
      <c r="D32" s="91" t="str">
        <f>Assumptions!B15</f>
        <v>Engineering - Design</v>
      </c>
      <c r="E32" s="96">
        <f>Assumptions!C15</f>
        <v>0.1</v>
      </c>
      <c r="F32" s="64">
        <f t="shared" si="3"/>
        <v>88100</v>
      </c>
      <c r="G32" s="77"/>
    </row>
    <row r="33" spans="2:7" x14ac:dyDescent="0.2">
      <c r="B33" s="72"/>
      <c r="D33" s="91" t="str">
        <f>Assumptions!B16</f>
        <v>Engineering - Construction</v>
      </c>
      <c r="E33" s="96">
        <f>Assumptions!C16</f>
        <v>0.15</v>
      </c>
      <c r="F33" s="64">
        <f t="shared" si="3"/>
        <v>132100</v>
      </c>
      <c r="G33" s="77"/>
    </row>
    <row r="34" spans="2:7" x14ac:dyDescent="0.2">
      <c r="B34" s="32"/>
      <c r="C34" s="63"/>
      <c r="D34" s="94" t="s">
        <v>19</v>
      </c>
      <c r="E34" s="68"/>
      <c r="F34" s="124">
        <f>SUM(F28:F33)</f>
        <v>1189000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Effluent Disposal - Meetinghouse Pond (223 Beach Road)</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147</v>
      </c>
      <c r="C45" s="51">
        <v>1</v>
      </c>
      <c r="D45" s="55" t="s">
        <v>34</v>
      </c>
      <c r="E45" s="56">
        <v>10000</v>
      </c>
      <c r="F45" s="54">
        <f>+MROUND(C45*E45,100)</f>
        <v>10000</v>
      </c>
      <c r="G45" s="99" t="s">
        <v>11</v>
      </c>
    </row>
    <row r="46" spans="2:7" x14ac:dyDescent="0.2">
      <c r="B46" s="50" t="s">
        <v>11</v>
      </c>
      <c r="C46" s="51">
        <v>0</v>
      </c>
      <c r="D46" s="55"/>
      <c r="E46" s="56">
        <v>0</v>
      </c>
      <c r="F46" s="54">
        <f t="shared" ref="F46:F54" si="4">+MROUND(C46*E46,100)</f>
        <v>0</v>
      </c>
      <c r="G46" s="99" t="s">
        <v>11</v>
      </c>
    </row>
    <row r="47" spans="2:7" x14ac:dyDescent="0.2">
      <c r="B47" s="50" t="s">
        <v>11</v>
      </c>
      <c r="C47" s="51">
        <v>0</v>
      </c>
      <c r="D47" s="55"/>
      <c r="E47" s="56">
        <v>0</v>
      </c>
      <c r="F47" s="54">
        <f t="shared" si="4"/>
        <v>0</v>
      </c>
      <c r="G47" s="99" t="s">
        <v>11</v>
      </c>
    </row>
    <row r="48" spans="2:7" x14ac:dyDescent="0.2">
      <c r="B48" s="50" t="s">
        <v>11</v>
      </c>
      <c r="C48" s="51">
        <v>0</v>
      </c>
      <c r="D48" s="55"/>
      <c r="E48" s="56">
        <v>0</v>
      </c>
      <c r="F48" s="54">
        <f t="shared" si="4"/>
        <v>0</v>
      </c>
      <c r="G48" s="99" t="s">
        <v>11</v>
      </c>
    </row>
    <row r="49" spans="2:7" x14ac:dyDescent="0.2">
      <c r="B49" s="50" t="s">
        <v>11</v>
      </c>
      <c r="C49" s="51">
        <v>0</v>
      </c>
      <c r="D49" s="55"/>
      <c r="E49" s="56">
        <v>0</v>
      </c>
      <c r="F49" s="54">
        <f t="shared" si="4"/>
        <v>0</v>
      </c>
      <c r="G49" s="99" t="s">
        <v>11</v>
      </c>
    </row>
    <row r="50" spans="2:7" x14ac:dyDescent="0.2">
      <c r="B50" s="50" t="s">
        <v>11</v>
      </c>
      <c r="C50" s="51">
        <v>0</v>
      </c>
      <c r="D50" s="55"/>
      <c r="E50" s="56">
        <v>0</v>
      </c>
      <c r="F50" s="54">
        <f t="shared" si="4"/>
        <v>0</v>
      </c>
      <c r="G50" s="99" t="s">
        <v>11</v>
      </c>
    </row>
    <row r="51" spans="2:7" x14ac:dyDescent="0.2">
      <c r="B51" s="50" t="s">
        <v>11</v>
      </c>
      <c r="C51" s="51">
        <v>0</v>
      </c>
      <c r="D51" s="55"/>
      <c r="E51" s="56">
        <v>0</v>
      </c>
      <c r="F51" s="54">
        <f t="shared" si="4"/>
        <v>0</v>
      </c>
      <c r="G51" s="99" t="s">
        <v>11</v>
      </c>
    </row>
    <row r="52" spans="2:7" x14ac:dyDescent="0.2">
      <c r="B52" s="50" t="s">
        <v>11</v>
      </c>
      <c r="C52" s="51">
        <v>0</v>
      </c>
      <c r="D52" s="55"/>
      <c r="E52" s="56">
        <v>0</v>
      </c>
      <c r="F52" s="54">
        <f t="shared" si="4"/>
        <v>0</v>
      </c>
      <c r="G52" s="99" t="s">
        <v>11</v>
      </c>
    </row>
    <row r="53" spans="2:7" x14ac:dyDescent="0.2">
      <c r="B53" s="50" t="s">
        <v>11</v>
      </c>
      <c r="C53" s="51">
        <v>0</v>
      </c>
      <c r="D53" s="55"/>
      <c r="E53" s="56">
        <v>0</v>
      </c>
      <c r="F53" s="54">
        <f t="shared" si="4"/>
        <v>0</v>
      </c>
      <c r="G53" s="99" t="s">
        <v>11</v>
      </c>
    </row>
    <row r="54" spans="2:7" x14ac:dyDescent="0.2">
      <c r="B54" s="50" t="s">
        <v>11</v>
      </c>
      <c r="C54" s="51">
        <v>0</v>
      </c>
      <c r="D54" s="55"/>
      <c r="E54" s="56">
        <v>0</v>
      </c>
      <c r="F54" s="54">
        <f t="shared" si="4"/>
        <v>0</v>
      </c>
      <c r="G54" s="99" t="s">
        <v>11</v>
      </c>
    </row>
    <row r="55" spans="2:7" x14ac:dyDescent="0.2">
      <c r="B55" s="72"/>
      <c r="C55" s="63"/>
      <c r="D55" s="90" t="s">
        <v>3</v>
      </c>
      <c r="E55" s="68"/>
      <c r="F55" s="93">
        <f>SUM(F45:F54)</f>
        <v>10000</v>
      </c>
      <c r="G55" s="98"/>
    </row>
    <row r="56" spans="2:7" x14ac:dyDescent="0.2">
      <c r="B56" s="72"/>
      <c r="D56" s="91" t="str">
        <f>Assumptions!B21</f>
        <v>Contingency</v>
      </c>
      <c r="E56" s="95">
        <f>Assumptions!C21</f>
        <v>0.1</v>
      </c>
      <c r="F56" s="64">
        <f>+MROUND((F55)*E56,100)</f>
        <v>1000</v>
      </c>
      <c r="G56" s="77"/>
    </row>
    <row r="57" spans="2:7" x14ac:dyDescent="0.2">
      <c r="B57" s="72"/>
      <c r="D57" s="91" t="s">
        <v>3</v>
      </c>
      <c r="E57" s="66"/>
      <c r="F57" s="93">
        <f>SUM(F55:F56)</f>
        <v>11000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300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11300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Effluent Disposal - Meetinghouse Pond (223 Beach Road)</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5">+MROUND(C75*E75,100)</f>
        <v>0</v>
      </c>
      <c r="G75" s="99" t="s">
        <v>140</v>
      </c>
    </row>
    <row r="76" spans="2:7" x14ac:dyDescent="0.2">
      <c r="B76" s="50" t="s">
        <v>11</v>
      </c>
      <c r="C76" s="51">
        <v>0</v>
      </c>
      <c r="D76" s="55"/>
      <c r="E76" s="56">
        <v>0</v>
      </c>
      <c r="F76" s="54">
        <f t="shared" si="5"/>
        <v>0</v>
      </c>
      <c r="G76" s="99" t="s">
        <v>11</v>
      </c>
    </row>
    <row r="77" spans="2:7" x14ac:dyDescent="0.2">
      <c r="B77" s="50" t="s">
        <v>11</v>
      </c>
      <c r="C77" s="51">
        <v>0</v>
      </c>
      <c r="D77" s="55"/>
      <c r="E77" s="56">
        <v>0</v>
      </c>
      <c r="F77" s="54">
        <f t="shared" si="5"/>
        <v>0</v>
      </c>
      <c r="G77" s="99" t="s">
        <v>11</v>
      </c>
    </row>
    <row r="78" spans="2:7" x14ac:dyDescent="0.2">
      <c r="B78" s="50" t="s">
        <v>11</v>
      </c>
      <c r="C78" s="51">
        <v>0</v>
      </c>
      <c r="D78" s="55"/>
      <c r="E78" s="56">
        <v>0</v>
      </c>
      <c r="F78" s="54">
        <f t="shared" si="5"/>
        <v>0</v>
      </c>
      <c r="G78" s="99" t="s">
        <v>11</v>
      </c>
    </row>
    <row r="79" spans="2:7" x14ac:dyDescent="0.2">
      <c r="B79" s="50" t="s">
        <v>11</v>
      </c>
      <c r="C79" s="51">
        <v>0</v>
      </c>
      <c r="D79" s="55"/>
      <c r="E79" s="56">
        <v>0</v>
      </c>
      <c r="F79" s="54">
        <f t="shared" si="5"/>
        <v>0</v>
      </c>
      <c r="G79" s="99" t="s">
        <v>11</v>
      </c>
    </row>
    <row r="80" spans="2:7" x14ac:dyDescent="0.2">
      <c r="B80" s="50" t="s">
        <v>11</v>
      </c>
      <c r="C80" s="51">
        <v>0</v>
      </c>
      <c r="D80" s="55"/>
      <c r="E80" s="56">
        <v>0</v>
      </c>
      <c r="F80" s="54">
        <f t="shared" si="5"/>
        <v>0</v>
      </c>
      <c r="G80" s="99" t="s">
        <v>11</v>
      </c>
    </row>
    <row r="81" spans="2:7" x14ac:dyDescent="0.2">
      <c r="B81" s="50" t="s">
        <v>11</v>
      </c>
      <c r="C81" s="51">
        <v>0</v>
      </c>
      <c r="D81" s="55"/>
      <c r="E81" s="56">
        <v>0</v>
      </c>
      <c r="F81" s="54">
        <f t="shared" si="5"/>
        <v>0</v>
      </c>
      <c r="G81" s="99" t="s">
        <v>11</v>
      </c>
    </row>
    <row r="82" spans="2:7" x14ac:dyDescent="0.2">
      <c r="B82" s="50" t="s">
        <v>11</v>
      </c>
      <c r="C82" s="51">
        <v>0</v>
      </c>
      <c r="D82" s="55"/>
      <c r="E82" s="56">
        <v>0</v>
      </c>
      <c r="F82" s="54">
        <f t="shared" si="5"/>
        <v>0</v>
      </c>
      <c r="G82" s="99" t="s">
        <v>11</v>
      </c>
    </row>
    <row r="83" spans="2:7" x14ac:dyDescent="0.2">
      <c r="B83" s="50" t="s">
        <v>11</v>
      </c>
      <c r="C83" s="51">
        <v>0</v>
      </c>
      <c r="D83" s="55"/>
      <c r="E83" s="56">
        <v>0</v>
      </c>
      <c r="F83" s="54">
        <f t="shared" si="5"/>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Effluent Disposal - Meetinghouse Pond (223 Beach Road)</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156</v>
      </c>
      <c r="C105" s="51">
        <v>12</v>
      </c>
      <c r="D105" s="55" t="s">
        <v>47</v>
      </c>
      <c r="E105" s="56">
        <v>65</v>
      </c>
      <c r="F105" s="54">
        <f>+MROUND(C105*E105,100)</f>
        <v>800</v>
      </c>
      <c r="G105" s="99"/>
    </row>
    <row r="106" spans="2:7" ht="38.25" x14ac:dyDescent="0.2">
      <c r="B106" s="50" t="s">
        <v>159</v>
      </c>
      <c r="C106" s="51">
        <v>24</v>
      </c>
      <c r="D106" s="55" t="s">
        <v>56</v>
      </c>
      <c r="E106" s="56">
        <v>200</v>
      </c>
      <c r="F106" s="54">
        <f>+MROUND(C106*E106,100)</f>
        <v>4800</v>
      </c>
      <c r="G106" s="99" t="s">
        <v>142</v>
      </c>
    </row>
    <row r="107" spans="2:7" x14ac:dyDescent="0.2">
      <c r="B107" s="50" t="s">
        <v>157</v>
      </c>
      <c r="C107" s="51">
        <v>4</v>
      </c>
      <c r="D107" s="55" t="s">
        <v>47</v>
      </c>
      <c r="E107" s="56">
        <v>65</v>
      </c>
      <c r="F107" s="54">
        <f t="shared" ref="F107:F109" si="6">+MROUND(C107*E107,100)</f>
        <v>300</v>
      </c>
      <c r="G107" s="99"/>
    </row>
    <row r="108" spans="2:7" x14ac:dyDescent="0.2">
      <c r="B108" s="50" t="s">
        <v>158</v>
      </c>
      <c r="C108" s="51">
        <v>6</v>
      </c>
      <c r="D108" s="55" t="s">
        <v>56</v>
      </c>
      <c r="E108" s="56">
        <v>100</v>
      </c>
      <c r="F108" s="54">
        <f t="shared" si="6"/>
        <v>600</v>
      </c>
      <c r="G108" s="99" t="s">
        <v>141</v>
      </c>
    </row>
    <row r="109" spans="2:7" x14ac:dyDescent="0.2">
      <c r="B109" s="50" t="s">
        <v>160</v>
      </c>
      <c r="C109" s="51">
        <v>40</v>
      </c>
      <c r="D109" s="55" t="s">
        <v>47</v>
      </c>
      <c r="E109" s="56">
        <v>65</v>
      </c>
      <c r="F109" s="54">
        <f t="shared" si="6"/>
        <v>2600</v>
      </c>
      <c r="G109" s="99" t="s">
        <v>11</v>
      </c>
    </row>
    <row r="110" spans="2:7" x14ac:dyDescent="0.2">
      <c r="B110" s="50" t="s">
        <v>11</v>
      </c>
      <c r="C110" s="51">
        <v>0</v>
      </c>
      <c r="D110" s="55"/>
      <c r="E110" s="56">
        <v>0</v>
      </c>
      <c r="F110" s="54">
        <f t="shared" ref="F110:F114" si="7">+MROUND(C110*E110,100)</f>
        <v>0</v>
      </c>
      <c r="G110" s="99" t="s">
        <v>11</v>
      </c>
    </row>
    <row r="111" spans="2:7" x14ac:dyDescent="0.2">
      <c r="B111" s="50" t="s">
        <v>11</v>
      </c>
      <c r="C111" s="51">
        <v>0</v>
      </c>
      <c r="D111" s="55"/>
      <c r="E111" s="56">
        <v>0</v>
      </c>
      <c r="F111" s="54">
        <f t="shared" si="7"/>
        <v>0</v>
      </c>
      <c r="G111" s="99" t="s">
        <v>11</v>
      </c>
    </row>
    <row r="112" spans="2:7" x14ac:dyDescent="0.2">
      <c r="B112" s="50" t="s">
        <v>11</v>
      </c>
      <c r="C112" s="51">
        <v>0</v>
      </c>
      <c r="D112" s="55"/>
      <c r="E112" s="56">
        <v>0</v>
      </c>
      <c r="F112" s="54">
        <f t="shared" si="7"/>
        <v>0</v>
      </c>
      <c r="G112" s="99" t="s">
        <v>11</v>
      </c>
    </row>
    <row r="113" spans="2:7" x14ac:dyDescent="0.2">
      <c r="B113" s="50" t="s">
        <v>11</v>
      </c>
      <c r="C113" s="51">
        <v>0</v>
      </c>
      <c r="D113" s="55"/>
      <c r="E113" s="56">
        <v>0</v>
      </c>
      <c r="F113" s="54">
        <f t="shared" si="7"/>
        <v>0</v>
      </c>
      <c r="G113" s="99" t="s">
        <v>11</v>
      </c>
    </row>
    <row r="114" spans="2:7" x14ac:dyDescent="0.2">
      <c r="B114" s="50" t="s">
        <v>11</v>
      </c>
      <c r="C114" s="51">
        <v>0</v>
      </c>
      <c r="D114" s="55"/>
      <c r="E114" s="56">
        <v>0</v>
      </c>
      <c r="F114" s="54">
        <f t="shared" si="7"/>
        <v>0</v>
      </c>
      <c r="G114" s="99" t="s">
        <v>11</v>
      </c>
    </row>
    <row r="115" spans="2:7" x14ac:dyDescent="0.2">
      <c r="B115" s="72"/>
      <c r="C115" s="63"/>
      <c r="D115" s="90" t="s">
        <v>3</v>
      </c>
      <c r="E115" s="68"/>
      <c r="F115" s="93">
        <f>SUM(F105:F114)</f>
        <v>9100</v>
      </c>
      <c r="G115" s="98"/>
    </row>
    <row r="116" spans="2:7" x14ac:dyDescent="0.2">
      <c r="B116" s="72"/>
      <c r="D116" s="91" t="str">
        <f>Assumptions!B45</f>
        <v>Contingency</v>
      </c>
      <c r="E116" s="95">
        <f>Assumptions!C45</f>
        <v>0.1</v>
      </c>
      <c r="F116" s="64">
        <f>+MROUND((F115)*E116,100)</f>
        <v>900</v>
      </c>
      <c r="G116" s="77"/>
    </row>
    <row r="117" spans="2:7" x14ac:dyDescent="0.2">
      <c r="B117" s="72"/>
      <c r="D117" s="91" t="s">
        <v>3</v>
      </c>
      <c r="E117" s="66"/>
      <c r="F117" s="93">
        <f>SUM(F115:F116)</f>
        <v>10000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500</v>
      </c>
      <c r="G119" s="77"/>
    </row>
    <row r="120" spans="2:7" x14ac:dyDescent="0.2">
      <c r="B120" s="72"/>
      <c r="D120" s="91" t="str">
        <f>Assumptions!B48</f>
        <v>Engineering - Planning/Consultation</v>
      </c>
      <c r="E120" s="96">
        <f>Assumptions!C48</f>
        <v>0.03</v>
      </c>
      <c r="F120" s="64">
        <f>+MROUND($F$117*E120,100)</f>
        <v>300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10800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D105:D114 D45:D54 D75:D83 D10:D23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59999389629810485"/>
  </sheetPr>
  <dimension ref="B2:S140"/>
  <sheetViews>
    <sheetView zoomScaleNormal="100" zoomScaleSheetLayoutView="75" workbookViewId="0">
      <selection activeCell="B5" sqref="B5"/>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483</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810</v>
      </c>
      <c r="F9" s="64">
        <f>+MROUND(C9*E9,100)</f>
        <v>800</v>
      </c>
      <c r="G9" s="77" t="str">
        <f>CONCATENATE(Assumptions!C9*100,"%"," ","of Other Items")</f>
        <v>5% of Other Items</v>
      </c>
      <c r="S9" s="147"/>
    </row>
    <row r="10" spans="2:19" x14ac:dyDescent="0.2">
      <c r="B10" s="514" t="s">
        <v>484</v>
      </c>
      <c r="C10" s="515">
        <v>20</v>
      </c>
      <c r="D10" s="516" t="s">
        <v>56</v>
      </c>
      <c r="E10" s="517">
        <v>60</v>
      </c>
      <c r="F10" s="54">
        <f t="shared" ref="F10:F22" si="0">+MROUND(C10*E10,100)</f>
        <v>1200</v>
      </c>
      <c r="G10" s="521" t="s">
        <v>11</v>
      </c>
      <c r="S10" s="147"/>
    </row>
    <row r="11" spans="2:19" x14ac:dyDescent="0.2">
      <c r="B11" s="514" t="s">
        <v>485</v>
      </c>
      <c r="C11" s="515">
        <v>2640</v>
      </c>
      <c r="D11" s="516" t="s">
        <v>21</v>
      </c>
      <c r="E11" s="517">
        <v>5.5E-2</v>
      </c>
      <c r="F11" s="54">
        <f t="shared" si="0"/>
        <v>100</v>
      </c>
      <c r="G11" s="521" t="s">
        <v>11</v>
      </c>
      <c r="S11" s="147"/>
    </row>
    <row r="12" spans="2:19" x14ac:dyDescent="0.2">
      <c r="B12" s="514" t="s">
        <v>486</v>
      </c>
      <c r="C12" s="515">
        <v>2640</v>
      </c>
      <c r="D12" s="516" t="s">
        <v>21</v>
      </c>
      <c r="E12" s="517">
        <v>7.0000000000000007E-2</v>
      </c>
      <c r="F12" s="54">
        <f t="shared" si="0"/>
        <v>200</v>
      </c>
      <c r="G12" s="521" t="s">
        <v>11</v>
      </c>
      <c r="S12" s="147"/>
    </row>
    <row r="13" spans="2:19" x14ac:dyDescent="0.2">
      <c r="B13" s="514" t="s">
        <v>487</v>
      </c>
      <c r="C13" s="515">
        <v>50</v>
      </c>
      <c r="D13" s="516" t="s">
        <v>56</v>
      </c>
      <c r="E13" s="517">
        <v>1.79</v>
      </c>
      <c r="F13" s="54">
        <f t="shared" si="0"/>
        <v>100</v>
      </c>
      <c r="G13" s="521"/>
      <c r="S13" s="147"/>
    </row>
    <row r="14" spans="2:19" x14ac:dyDescent="0.2">
      <c r="B14" s="514" t="s">
        <v>488</v>
      </c>
      <c r="C14" s="515">
        <v>2</v>
      </c>
      <c r="D14" s="516" t="s">
        <v>56</v>
      </c>
      <c r="E14" s="517">
        <v>200</v>
      </c>
      <c r="F14" s="54">
        <f t="shared" si="0"/>
        <v>400</v>
      </c>
      <c r="G14" s="521"/>
      <c r="S14" s="147"/>
    </row>
    <row r="15" spans="2:19" x14ac:dyDescent="0.2">
      <c r="B15" s="514" t="s">
        <v>489</v>
      </c>
      <c r="C15" s="515">
        <v>12</v>
      </c>
      <c r="D15" s="516" t="s">
        <v>56</v>
      </c>
      <c r="E15" s="517">
        <v>20</v>
      </c>
      <c r="F15" s="54">
        <f t="shared" si="0"/>
        <v>200</v>
      </c>
      <c r="G15" s="521"/>
      <c r="S15" s="147"/>
    </row>
    <row r="16" spans="2:19" x14ac:dyDescent="0.2">
      <c r="B16" s="514" t="s">
        <v>490</v>
      </c>
      <c r="C16" s="515">
        <v>1</v>
      </c>
      <c r="D16" s="516" t="s">
        <v>56</v>
      </c>
      <c r="E16" s="517">
        <v>100</v>
      </c>
      <c r="F16" s="54">
        <f t="shared" si="0"/>
        <v>100</v>
      </c>
      <c r="G16" s="521"/>
      <c r="S16" s="147"/>
    </row>
    <row r="17" spans="2:19" x14ac:dyDescent="0.2">
      <c r="B17" s="514" t="s">
        <v>491</v>
      </c>
      <c r="C17" s="520">
        <v>0</v>
      </c>
      <c r="D17" s="522" t="s">
        <v>11</v>
      </c>
      <c r="E17" s="523">
        <v>0</v>
      </c>
      <c r="F17" s="54">
        <f t="shared" si="0"/>
        <v>0</v>
      </c>
      <c r="G17" s="521" t="s">
        <v>493</v>
      </c>
      <c r="S17" s="147"/>
    </row>
    <row r="18" spans="2:19" x14ac:dyDescent="0.2">
      <c r="B18" s="519" t="s">
        <v>109</v>
      </c>
      <c r="C18" s="520">
        <v>20</v>
      </c>
      <c r="D18" s="522" t="s">
        <v>56</v>
      </c>
      <c r="E18" s="523">
        <v>14</v>
      </c>
      <c r="F18" s="54">
        <f t="shared" ref="F18:F21" si="1">+MROUND(C18*E18,100)</f>
        <v>300</v>
      </c>
      <c r="G18" s="521" t="s">
        <v>492</v>
      </c>
      <c r="S18" s="147"/>
    </row>
    <row r="19" spans="2:19" x14ac:dyDescent="0.2">
      <c r="B19" s="519" t="s">
        <v>107</v>
      </c>
      <c r="C19" s="520">
        <v>340</v>
      </c>
      <c r="D19" s="522" t="s">
        <v>47</v>
      </c>
      <c r="E19" s="523">
        <v>40</v>
      </c>
      <c r="F19" s="54">
        <f t="shared" ref="F19" si="2">+MROUND(C19*E19,100)</f>
        <v>13600</v>
      </c>
      <c r="G19" s="527"/>
      <c r="S19" s="147"/>
    </row>
    <row r="20" spans="2:19" x14ac:dyDescent="0.2">
      <c r="B20" s="519"/>
      <c r="C20" s="520"/>
      <c r="D20" s="522"/>
      <c r="E20" s="523"/>
      <c r="F20" s="54"/>
      <c r="G20" s="521"/>
      <c r="S20" s="147"/>
    </row>
    <row r="21" spans="2:19" x14ac:dyDescent="0.2">
      <c r="B21" s="519" t="s">
        <v>11</v>
      </c>
      <c r="C21" s="520">
        <v>0</v>
      </c>
      <c r="D21" s="522" t="s">
        <v>11</v>
      </c>
      <c r="E21" s="523">
        <v>0</v>
      </c>
      <c r="F21" s="54">
        <f t="shared" si="1"/>
        <v>0</v>
      </c>
      <c r="G21" s="521" t="s">
        <v>11</v>
      </c>
      <c r="S21" s="147"/>
    </row>
    <row r="22" spans="2:19" x14ac:dyDescent="0.2">
      <c r="B22" s="519" t="s">
        <v>11</v>
      </c>
      <c r="C22" s="515">
        <v>0</v>
      </c>
      <c r="D22" s="522" t="s">
        <v>11</v>
      </c>
      <c r="E22" s="517">
        <v>0</v>
      </c>
      <c r="F22" s="54">
        <f t="shared" si="0"/>
        <v>0</v>
      </c>
      <c r="G22" s="521" t="s">
        <v>11</v>
      </c>
      <c r="S22" s="147"/>
    </row>
    <row r="23" spans="2:19" x14ac:dyDescent="0.2">
      <c r="B23" s="50" t="s">
        <v>11</v>
      </c>
      <c r="C23" s="51">
        <v>0</v>
      </c>
      <c r="D23" s="55" t="s">
        <v>11</v>
      </c>
      <c r="E23" s="56">
        <v>0</v>
      </c>
      <c r="F23" s="54">
        <f t="shared" ref="F23" si="3">+MROUND(C23*E23,1000)</f>
        <v>0</v>
      </c>
      <c r="G23" s="99" t="s">
        <v>11</v>
      </c>
      <c r="S23" s="147"/>
    </row>
    <row r="24" spans="2:19" x14ac:dyDescent="0.2">
      <c r="B24" s="72"/>
      <c r="C24" s="63"/>
      <c r="D24" s="90" t="s">
        <v>3</v>
      </c>
      <c r="E24" s="68"/>
      <c r="F24" s="93">
        <f>+SUM(F9:F23)</f>
        <v>17000</v>
      </c>
      <c r="G24" s="98"/>
    </row>
    <row r="25" spans="2:19" x14ac:dyDescent="0.2">
      <c r="B25" s="72"/>
      <c r="D25" s="91" t="str">
        <f>Assumptions!B10</f>
        <v>Overhead and Profit</v>
      </c>
      <c r="E25" s="95">
        <f>Assumptions!C10</f>
        <v>0.22</v>
      </c>
      <c r="F25" s="67">
        <f>+MROUND(F24*E25,100)</f>
        <v>3700</v>
      </c>
      <c r="G25" s="77"/>
    </row>
    <row r="26" spans="2:19" x14ac:dyDescent="0.2">
      <c r="B26" s="72"/>
      <c r="D26" s="91" t="s">
        <v>3</v>
      </c>
      <c r="E26" s="66"/>
      <c r="F26" s="92">
        <f>F25+F24</f>
        <v>20700</v>
      </c>
      <c r="G26" s="77"/>
    </row>
    <row r="27" spans="2:19" x14ac:dyDescent="0.2">
      <c r="B27" s="72"/>
      <c r="D27" s="91" t="str">
        <f>Assumptions!B11</f>
        <v>Contingency</v>
      </c>
      <c r="E27" s="96">
        <f>Assumptions!C11</f>
        <v>0.25</v>
      </c>
      <c r="F27" s="64">
        <f>+MROUND((F26)*E27,100)</f>
        <v>5200</v>
      </c>
      <c r="G27" s="77"/>
    </row>
    <row r="28" spans="2:19" x14ac:dyDescent="0.2">
      <c r="B28" s="72"/>
      <c r="D28" s="91" t="s">
        <v>36</v>
      </c>
      <c r="E28" s="96"/>
      <c r="F28" s="93">
        <f>SUM(F26:F27)</f>
        <v>25900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1300</v>
      </c>
      <c r="G30" s="518"/>
    </row>
    <row r="31" spans="2:19" x14ac:dyDescent="0.2">
      <c r="B31" s="72"/>
      <c r="D31" s="91" t="str">
        <f>Assumptions!B14</f>
        <v>Engineering - Planning/Consultation</v>
      </c>
      <c r="E31" s="96">
        <f>Assumptions!C14</f>
        <v>0.05</v>
      </c>
      <c r="F31" s="64">
        <f t="shared" ref="F31" si="4">+MROUND($F$28*E31,100)</f>
        <v>1300</v>
      </c>
      <c r="G31" s="518"/>
    </row>
    <row r="32" spans="2:19" x14ac:dyDescent="0.2">
      <c r="B32" s="72"/>
      <c r="D32" s="91" t="str">
        <f>Assumptions!B15</f>
        <v>Engineering - Design</v>
      </c>
      <c r="E32" s="96"/>
      <c r="F32" s="64">
        <v>23400</v>
      </c>
      <c r="G32" s="77"/>
    </row>
    <row r="33" spans="2:7" x14ac:dyDescent="0.2">
      <c r="B33" s="72"/>
      <c r="D33" s="91" t="str">
        <f>Assumptions!B16</f>
        <v>Engineering - Construction</v>
      </c>
      <c r="E33" s="96"/>
      <c r="F33" s="64">
        <v>75000</v>
      </c>
      <c r="G33" s="77"/>
    </row>
    <row r="34" spans="2:7" x14ac:dyDescent="0.2">
      <c r="B34" s="32"/>
      <c r="C34" s="63"/>
      <c r="D34" s="94" t="s">
        <v>19</v>
      </c>
      <c r="E34" s="68"/>
      <c r="F34" s="124">
        <f>SUM(F28:F33)</f>
        <v>126900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Aquaculture/Shellfish Propagation - Demonstration 1 - Terminal Pond Oyster Bed</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107</v>
      </c>
      <c r="C45" s="51">
        <v>780</v>
      </c>
      <c r="D45" s="55" t="s">
        <v>47</v>
      </c>
      <c r="E45" s="56">
        <v>40</v>
      </c>
      <c r="F45" s="54">
        <f>+MROUND(C45*E45,100)</f>
        <v>31200</v>
      </c>
      <c r="G45" s="524" t="s">
        <v>11</v>
      </c>
    </row>
    <row r="46" spans="2:7" ht="25.5" x14ac:dyDescent="0.2">
      <c r="B46" s="50" t="s">
        <v>495</v>
      </c>
      <c r="C46" s="51">
        <v>500</v>
      </c>
      <c r="D46" s="55" t="s">
        <v>56</v>
      </c>
      <c r="E46" s="56">
        <v>14</v>
      </c>
      <c r="F46" s="54">
        <f t="shared" ref="F46:F48" si="5">+MROUND(C46*E46,100)</f>
        <v>7000</v>
      </c>
      <c r="G46" s="527" t="s">
        <v>497</v>
      </c>
    </row>
    <row r="47" spans="2:7" x14ac:dyDescent="0.2">
      <c r="B47" s="50" t="s">
        <v>494</v>
      </c>
      <c r="C47" s="51">
        <v>800</v>
      </c>
      <c r="D47" s="55" t="s">
        <v>56</v>
      </c>
      <c r="E47" s="56">
        <v>60</v>
      </c>
      <c r="F47" s="54">
        <f t="shared" si="5"/>
        <v>48000</v>
      </c>
      <c r="G47" s="527" t="s">
        <v>496</v>
      </c>
    </row>
    <row r="48" spans="2:7" x14ac:dyDescent="0.2">
      <c r="B48" s="50" t="s">
        <v>110</v>
      </c>
      <c r="C48" s="51">
        <v>1</v>
      </c>
      <c r="D48" s="55" t="s">
        <v>31</v>
      </c>
      <c r="E48" s="56">
        <v>500</v>
      </c>
      <c r="F48" s="54">
        <f t="shared" si="5"/>
        <v>500</v>
      </c>
      <c r="G48" s="527" t="s">
        <v>11</v>
      </c>
    </row>
    <row r="49" spans="2:7" x14ac:dyDescent="0.2">
      <c r="B49" s="50" t="s">
        <v>110</v>
      </c>
      <c r="C49" s="51">
        <v>1</v>
      </c>
      <c r="D49" s="55" t="s">
        <v>31</v>
      </c>
      <c r="E49" s="56">
        <v>500</v>
      </c>
      <c r="F49" s="54">
        <f t="shared" ref="F49" si="6">+MROUND(C49*E49,100)</f>
        <v>500</v>
      </c>
      <c r="G49" s="99" t="s">
        <v>11</v>
      </c>
    </row>
    <row r="50" spans="2:7" x14ac:dyDescent="0.2">
      <c r="B50" s="50"/>
      <c r="C50" s="51">
        <v>0</v>
      </c>
      <c r="D50" s="55"/>
      <c r="E50" s="56">
        <v>0</v>
      </c>
      <c r="F50" s="54">
        <f t="shared" ref="F50:F54" si="7">+MROUND(C50*E50,100)</f>
        <v>0</v>
      </c>
      <c r="G50" s="99" t="s">
        <v>11</v>
      </c>
    </row>
    <row r="51" spans="2:7" x14ac:dyDescent="0.2">
      <c r="B51" s="50" t="s">
        <v>11</v>
      </c>
      <c r="C51" s="51">
        <v>0</v>
      </c>
      <c r="D51" s="55"/>
      <c r="E51" s="56">
        <v>0</v>
      </c>
      <c r="F51" s="54">
        <f t="shared" si="7"/>
        <v>0</v>
      </c>
      <c r="G51" s="99" t="s">
        <v>11</v>
      </c>
    </row>
    <row r="52" spans="2:7" x14ac:dyDescent="0.2">
      <c r="B52" s="50" t="s">
        <v>11</v>
      </c>
      <c r="C52" s="51">
        <v>0</v>
      </c>
      <c r="D52" s="55"/>
      <c r="E52" s="56">
        <v>0</v>
      </c>
      <c r="F52" s="54">
        <f t="shared" si="7"/>
        <v>0</v>
      </c>
      <c r="G52" s="99" t="s">
        <v>11</v>
      </c>
    </row>
    <row r="53" spans="2:7" x14ac:dyDescent="0.2">
      <c r="B53" s="50" t="s">
        <v>11</v>
      </c>
      <c r="C53" s="51">
        <v>0</v>
      </c>
      <c r="D53" s="55"/>
      <c r="E53" s="56">
        <v>0</v>
      </c>
      <c r="F53" s="54">
        <f t="shared" si="7"/>
        <v>0</v>
      </c>
      <c r="G53" s="99" t="s">
        <v>11</v>
      </c>
    </row>
    <row r="54" spans="2:7" x14ac:dyDescent="0.2">
      <c r="B54" s="50" t="s">
        <v>11</v>
      </c>
      <c r="C54" s="51">
        <v>0</v>
      </c>
      <c r="D54" s="55"/>
      <c r="E54" s="56">
        <v>0</v>
      </c>
      <c r="F54" s="54">
        <f t="shared" si="7"/>
        <v>0</v>
      </c>
      <c r="G54" s="99" t="s">
        <v>11</v>
      </c>
    </row>
    <row r="55" spans="2:7" x14ac:dyDescent="0.2">
      <c r="B55" s="72"/>
      <c r="C55" s="63"/>
      <c r="D55" s="90" t="s">
        <v>3</v>
      </c>
      <c r="E55" s="68"/>
      <c r="F55" s="93">
        <f>SUM(F45:F54)</f>
        <v>87200</v>
      </c>
      <c r="G55" s="98"/>
    </row>
    <row r="56" spans="2:7" x14ac:dyDescent="0.2">
      <c r="B56" s="72"/>
      <c r="D56" s="91" t="str">
        <f>Assumptions!B21</f>
        <v>Contingency</v>
      </c>
      <c r="E56" s="95">
        <f>Assumptions!C21</f>
        <v>0.1</v>
      </c>
      <c r="F56" s="64">
        <f>+MROUND((F55)*E56,100)</f>
        <v>8700</v>
      </c>
      <c r="G56" s="77"/>
    </row>
    <row r="57" spans="2:7" x14ac:dyDescent="0.2">
      <c r="B57" s="72"/>
      <c r="D57" s="91" t="s">
        <v>3</v>
      </c>
      <c r="E57" s="66"/>
      <c r="F57" s="93">
        <f>SUM(F55:F56)</f>
        <v>95900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2900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526">
        <f>Assumptions!C26</f>
        <v>0</v>
      </c>
      <c r="F62" s="64">
        <v>45000</v>
      </c>
      <c r="G62" s="49"/>
    </row>
    <row r="63" spans="2:7" x14ac:dyDescent="0.2">
      <c r="B63" s="32"/>
      <c r="C63" s="63"/>
      <c r="D63" s="94" t="s">
        <v>18</v>
      </c>
      <c r="F63" s="124">
        <f>SUM(F57:F62)</f>
        <v>143800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Aquaculture/Shellfish Propagation - Demonstration 1 - Terminal Pond Oyster Bed</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ht="25.5" x14ac:dyDescent="0.2">
      <c r="B75" s="50" t="s">
        <v>11</v>
      </c>
      <c r="C75" s="51">
        <v>0</v>
      </c>
      <c r="D75" s="55" t="s">
        <v>11</v>
      </c>
      <c r="E75" s="56">
        <v>0</v>
      </c>
      <c r="F75" s="54">
        <f t="shared" ref="F75:F83" si="8">+MROUND(C75*E75,100)</f>
        <v>0</v>
      </c>
      <c r="G75" s="99" t="s">
        <v>498</v>
      </c>
    </row>
    <row r="76" spans="2:7" x14ac:dyDescent="0.2">
      <c r="B76" s="50" t="s">
        <v>11</v>
      </c>
      <c r="C76" s="51">
        <v>0</v>
      </c>
      <c r="D76" s="55" t="s">
        <v>11</v>
      </c>
      <c r="E76" s="56">
        <v>0</v>
      </c>
      <c r="F76" s="54">
        <f t="shared" si="8"/>
        <v>0</v>
      </c>
      <c r="G76" s="99" t="s">
        <v>11</v>
      </c>
    </row>
    <row r="77" spans="2:7" x14ac:dyDescent="0.2">
      <c r="B77" s="50"/>
      <c r="C77" s="51">
        <v>0</v>
      </c>
      <c r="D77" s="55" t="s">
        <v>11</v>
      </c>
      <c r="E77" s="56">
        <v>0</v>
      </c>
      <c r="F77" s="54">
        <f t="shared" si="8"/>
        <v>0</v>
      </c>
      <c r="G77" s="99"/>
    </row>
    <row r="78" spans="2:7" x14ac:dyDescent="0.2">
      <c r="B78" s="50"/>
      <c r="C78" s="51">
        <v>0</v>
      </c>
      <c r="D78" s="55" t="s">
        <v>11</v>
      </c>
      <c r="E78" s="56">
        <v>0</v>
      </c>
      <c r="F78" s="54">
        <f t="shared" si="8"/>
        <v>0</v>
      </c>
      <c r="G78" s="99" t="s">
        <v>11</v>
      </c>
    </row>
    <row r="79" spans="2:7" x14ac:dyDescent="0.2">
      <c r="B79" s="50"/>
      <c r="C79" s="51">
        <v>0</v>
      </c>
      <c r="D79" s="55" t="s">
        <v>11</v>
      </c>
      <c r="E79" s="56">
        <v>0</v>
      </c>
      <c r="F79" s="54">
        <f t="shared" si="8"/>
        <v>0</v>
      </c>
      <c r="G79" s="99" t="s">
        <v>11</v>
      </c>
    </row>
    <row r="80" spans="2:7" x14ac:dyDescent="0.2">
      <c r="B80" s="50" t="s">
        <v>11</v>
      </c>
      <c r="C80" s="51">
        <v>0</v>
      </c>
      <c r="D80" s="55"/>
      <c r="E80" s="56">
        <v>0</v>
      </c>
      <c r="F80" s="54">
        <f t="shared" si="8"/>
        <v>0</v>
      </c>
      <c r="G80" s="99" t="s">
        <v>11</v>
      </c>
    </row>
    <row r="81" spans="2:7" x14ac:dyDescent="0.2">
      <c r="B81" s="50"/>
      <c r="C81" s="51">
        <v>0</v>
      </c>
      <c r="D81" s="55" t="s">
        <v>11</v>
      </c>
      <c r="E81" s="56">
        <v>0</v>
      </c>
      <c r="F81" s="54">
        <f t="shared" si="8"/>
        <v>0</v>
      </c>
      <c r="G81" s="99" t="s">
        <v>11</v>
      </c>
    </row>
    <row r="82" spans="2:7" x14ac:dyDescent="0.2">
      <c r="B82" s="50" t="s">
        <v>11</v>
      </c>
      <c r="C82" s="51">
        <v>0</v>
      </c>
      <c r="D82" s="55"/>
      <c r="E82" s="56">
        <v>0</v>
      </c>
      <c r="F82" s="54">
        <f t="shared" si="8"/>
        <v>0</v>
      </c>
      <c r="G82" s="99" t="s">
        <v>11</v>
      </c>
    </row>
    <row r="83" spans="2:7" x14ac:dyDescent="0.2">
      <c r="B83" s="50" t="s">
        <v>11</v>
      </c>
      <c r="C83" s="51">
        <v>0</v>
      </c>
      <c r="D83" s="55"/>
      <c r="E83" s="56">
        <v>0</v>
      </c>
      <c r="F83" s="54">
        <f t="shared" si="8"/>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Aquaculture/Shellfish Propagation - Demonstration 1 - Terminal Pond Oyster Bed</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t="s">
        <v>11</v>
      </c>
      <c r="E105" s="56">
        <v>0</v>
      </c>
      <c r="F105" s="54">
        <f>+MROUND(C105*E105,100)</f>
        <v>0</v>
      </c>
      <c r="G105" s="521" t="s">
        <v>11</v>
      </c>
    </row>
    <row r="106" spans="2:7" x14ac:dyDescent="0.2">
      <c r="B106" s="50" t="s">
        <v>11</v>
      </c>
      <c r="C106" s="51">
        <v>0</v>
      </c>
      <c r="D106" s="55" t="s">
        <v>11</v>
      </c>
      <c r="E106" s="56">
        <v>0</v>
      </c>
      <c r="F106" s="54">
        <f t="shared" ref="F106:F114" si="9">+MROUND(C106*E106,100)</f>
        <v>0</v>
      </c>
      <c r="G106" s="99" t="s">
        <v>11</v>
      </c>
    </row>
    <row r="107" spans="2:7" x14ac:dyDescent="0.2">
      <c r="B107" s="50" t="s">
        <v>11</v>
      </c>
      <c r="C107" s="51">
        <v>0</v>
      </c>
      <c r="D107" s="55" t="s">
        <v>11</v>
      </c>
      <c r="E107" s="56">
        <v>0</v>
      </c>
      <c r="F107" s="54">
        <f t="shared" si="9"/>
        <v>0</v>
      </c>
      <c r="G107" s="521" t="s">
        <v>11</v>
      </c>
    </row>
    <row r="108" spans="2:7" x14ac:dyDescent="0.2">
      <c r="B108" s="50" t="s">
        <v>11</v>
      </c>
      <c r="C108" s="51">
        <v>0</v>
      </c>
      <c r="D108" s="55" t="s">
        <v>11</v>
      </c>
      <c r="E108" s="56">
        <v>0</v>
      </c>
      <c r="F108" s="54">
        <f t="shared" si="9"/>
        <v>0</v>
      </c>
      <c r="G108" s="99" t="s">
        <v>11</v>
      </c>
    </row>
    <row r="109" spans="2:7" x14ac:dyDescent="0.2">
      <c r="B109" s="50" t="s">
        <v>11</v>
      </c>
      <c r="C109" s="51">
        <v>0</v>
      </c>
      <c r="D109" s="55" t="s">
        <v>11</v>
      </c>
      <c r="E109" s="56">
        <v>0</v>
      </c>
      <c r="F109" s="54">
        <f t="shared" si="9"/>
        <v>0</v>
      </c>
      <c r="G109" s="99" t="s">
        <v>11</v>
      </c>
    </row>
    <row r="110" spans="2:7" x14ac:dyDescent="0.2">
      <c r="B110" s="50" t="s">
        <v>11</v>
      </c>
      <c r="C110" s="51">
        <v>0</v>
      </c>
      <c r="D110" s="55"/>
      <c r="E110" s="56">
        <v>0</v>
      </c>
      <c r="F110" s="54">
        <f t="shared" si="9"/>
        <v>0</v>
      </c>
      <c r="G110" s="99" t="s">
        <v>11</v>
      </c>
    </row>
    <row r="111" spans="2:7" x14ac:dyDescent="0.2">
      <c r="B111" s="50" t="s">
        <v>11</v>
      </c>
      <c r="C111" s="51">
        <v>0</v>
      </c>
      <c r="D111" s="55"/>
      <c r="E111" s="56">
        <v>0</v>
      </c>
      <c r="F111" s="54">
        <f t="shared" si="9"/>
        <v>0</v>
      </c>
      <c r="G111" s="99" t="s">
        <v>11</v>
      </c>
    </row>
    <row r="112" spans="2:7" x14ac:dyDescent="0.2">
      <c r="B112" s="50" t="s">
        <v>11</v>
      </c>
      <c r="C112" s="51">
        <v>0</v>
      </c>
      <c r="D112" s="55"/>
      <c r="E112" s="56">
        <v>0</v>
      </c>
      <c r="F112" s="54">
        <f t="shared" si="9"/>
        <v>0</v>
      </c>
      <c r="G112" s="99" t="s">
        <v>11</v>
      </c>
    </row>
    <row r="113" spans="2:7" x14ac:dyDescent="0.2">
      <c r="B113" s="50" t="s">
        <v>11</v>
      </c>
      <c r="C113" s="51">
        <v>0</v>
      </c>
      <c r="D113" s="55"/>
      <c r="E113" s="56">
        <v>0</v>
      </c>
      <c r="F113" s="54">
        <f t="shared" si="9"/>
        <v>0</v>
      </c>
      <c r="G113" s="99" t="s">
        <v>11</v>
      </c>
    </row>
    <row r="114" spans="2:7" x14ac:dyDescent="0.2">
      <c r="B114" s="50" t="s">
        <v>11</v>
      </c>
      <c r="C114" s="51">
        <v>0</v>
      </c>
      <c r="D114" s="55"/>
      <c r="E114" s="56">
        <v>0</v>
      </c>
      <c r="F114" s="54">
        <f t="shared" si="9"/>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D105:D114 D75:D83 D10:D23 D45:D54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S140"/>
  <sheetViews>
    <sheetView zoomScaleNormal="100" zoomScaleSheetLayoutView="75" workbookViewId="0">
      <selection activeCell="B5" sqref="B5"/>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499</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c r="C10" s="51">
        <v>0</v>
      </c>
      <c r="D10" s="55"/>
      <c r="E10" s="56">
        <v>0</v>
      </c>
      <c r="F10" s="54">
        <f t="shared" ref="F10:F12" si="0">+MROUND(C10*E10,100)</f>
        <v>0</v>
      </c>
      <c r="G10" s="99"/>
      <c r="S10" s="147"/>
    </row>
    <row r="11" spans="2:19" x14ac:dyDescent="0.2">
      <c r="B11" s="50"/>
      <c r="C11" s="51">
        <v>0</v>
      </c>
      <c r="D11" s="55"/>
      <c r="E11" s="56">
        <v>0</v>
      </c>
      <c r="F11" s="54">
        <f t="shared" si="0"/>
        <v>0</v>
      </c>
      <c r="G11" s="58"/>
      <c r="S11" s="147"/>
    </row>
    <row r="12" spans="2:19" x14ac:dyDescent="0.2">
      <c r="B12" s="50"/>
      <c r="C12" s="51">
        <v>0</v>
      </c>
      <c r="D12" s="55"/>
      <c r="E12" s="56">
        <v>0</v>
      </c>
      <c r="F12" s="54">
        <f t="shared" si="0"/>
        <v>0</v>
      </c>
      <c r="G12" s="99"/>
      <c r="S12" s="147"/>
    </row>
    <row r="13" spans="2:19" x14ac:dyDescent="0.2">
      <c r="B13" s="50" t="s">
        <v>11</v>
      </c>
      <c r="C13" s="51">
        <v>0</v>
      </c>
      <c r="D13" s="55"/>
      <c r="E13" s="56">
        <v>0</v>
      </c>
      <c r="F13" s="54">
        <f t="shared" ref="F13:F14" si="1">+MROUND(C13*E13,100)</f>
        <v>0</v>
      </c>
      <c r="G13" s="99" t="s">
        <v>11</v>
      </c>
      <c r="S13" s="147"/>
    </row>
    <row r="14" spans="2:19" x14ac:dyDescent="0.2">
      <c r="B14" s="50"/>
      <c r="C14" s="51">
        <v>0</v>
      </c>
      <c r="D14" s="55"/>
      <c r="E14" s="56">
        <v>0</v>
      </c>
      <c r="F14" s="54">
        <f t="shared" si="1"/>
        <v>0</v>
      </c>
      <c r="G14" s="99" t="s">
        <v>11</v>
      </c>
      <c r="S14" s="147"/>
    </row>
    <row r="15" spans="2:19" x14ac:dyDescent="0.2">
      <c r="B15" s="50" t="s">
        <v>11</v>
      </c>
      <c r="C15" s="51">
        <v>0</v>
      </c>
      <c r="D15" s="55"/>
      <c r="E15" s="56">
        <v>0</v>
      </c>
      <c r="F15" s="54">
        <f t="shared" ref="F15:F22" si="2">+MROUND(C15*E15,100)</f>
        <v>0</v>
      </c>
      <c r="G15" s="99" t="s">
        <v>11</v>
      </c>
      <c r="S15" s="147"/>
    </row>
    <row r="16" spans="2:19" x14ac:dyDescent="0.2">
      <c r="B16" s="50" t="s">
        <v>11</v>
      </c>
      <c r="C16" s="51">
        <v>0</v>
      </c>
      <c r="D16" s="55"/>
      <c r="E16" s="119">
        <v>0</v>
      </c>
      <c r="F16" s="54">
        <f t="shared" si="2"/>
        <v>0</v>
      </c>
      <c r="G16" s="99" t="s">
        <v>11</v>
      </c>
      <c r="S16" s="147"/>
    </row>
    <row r="17" spans="2:19" x14ac:dyDescent="0.2">
      <c r="B17" s="50" t="s">
        <v>11</v>
      </c>
      <c r="C17" s="51">
        <v>0</v>
      </c>
      <c r="D17" s="55"/>
      <c r="E17" s="56">
        <v>0</v>
      </c>
      <c r="F17" s="54">
        <f t="shared" si="2"/>
        <v>0</v>
      </c>
      <c r="G17" s="99" t="s">
        <v>11</v>
      </c>
      <c r="S17" s="147"/>
    </row>
    <row r="18" spans="2:19" x14ac:dyDescent="0.2">
      <c r="B18" s="50" t="s">
        <v>11</v>
      </c>
      <c r="C18" s="51">
        <v>0</v>
      </c>
      <c r="D18" s="55"/>
      <c r="E18" s="56">
        <v>0</v>
      </c>
      <c r="F18" s="54">
        <f t="shared" si="2"/>
        <v>0</v>
      </c>
      <c r="G18" s="99" t="s">
        <v>11</v>
      </c>
      <c r="S18" s="147"/>
    </row>
    <row r="19" spans="2:19" x14ac:dyDescent="0.2">
      <c r="B19" s="50" t="s">
        <v>11</v>
      </c>
      <c r="C19" s="51">
        <v>0</v>
      </c>
      <c r="D19" s="55"/>
      <c r="E19" s="56">
        <v>0</v>
      </c>
      <c r="F19" s="54">
        <f t="shared" si="2"/>
        <v>0</v>
      </c>
      <c r="G19" s="99" t="s">
        <v>11</v>
      </c>
      <c r="S19" s="147"/>
    </row>
    <row r="20" spans="2:19" x14ac:dyDescent="0.2">
      <c r="B20" s="50" t="s">
        <v>11</v>
      </c>
      <c r="C20" s="51">
        <v>0</v>
      </c>
      <c r="D20" s="55"/>
      <c r="E20" s="56">
        <v>0</v>
      </c>
      <c r="F20" s="54">
        <f t="shared" si="2"/>
        <v>0</v>
      </c>
      <c r="G20" s="99" t="s">
        <v>11</v>
      </c>
      <c r="S20" s="147"/>
    </row>
    <row r="21" spans="2:19" x14ac:dyDescent="0.2">
      <c r="B21" s="50" t="s">
        <v>11</v>
      </c>
      <c r="C21" s="51">
        <v>0</v>
      </c>
      <c r="D21" s="55"/>
      <c r="E21" s="56">
        <v>0</v>
      </c>
      <c r="F21" s="54">
        <f t="shared" si="2"/>
        <v>0</v>
      </c>
      <c r="G21" s="99" t="s">
        <v>11</v>
      </c>
      <c r="S21" s="147"/>
    </row>
    <row r="22" spans="2:19" x14ac:dyDescent="0.2">
      <c r="B22" s="50" t="s">
        <v>11</v>
      </c>
      <c r="C22" s="51">
        <v>0</v>
      </c>
      <c r="D22" s="55"/>
      <c r="E22" s="56">
        <v>0</v>
      </c>
      <c r="F22" s="54">
        <f t="shared" si="2"/>
        <v>0</v>
      </c>
      <c r="G22" s="99" t="s">
        <v>11</v>
      </c>
      <c r="S22" s="147"/>
    </row>
    <row r="23" spans="2:19" x14ac:dyDescent="0.2">
      <c r="B23" s="50" t="s">
        <v>11</v>
      </c>
      <c r="C23" s="51">
        <v>0</v>
      </c>
      <c r="D23" s="55"/>
      <c r="E23" s="56">
        <v>0</v>
      </c>
      <c r="F23" s="54">
        <f t="shared" ref="F23" si="3">+MROUND(C23*E23,1000)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v>4900</v>
      </c>
      <c r="G30" s="77"/>
    </row>
    <row r="31" spans="2:19" x14ac:dyDescent="0.2">
      <c r="B31" s="72"/>
      <c r="D31" s="91" t="str">
        <f>Assumptions!B14</f>
        <v>Engineering - Planning/Consultation</v>
      </c>
      <c r="E31" s="96">
        <f>Assumptions!C14</f>
        <v>0.05</v>
      </c>
      <c r="F31" s="64">
        <f t="shared" ref="F31" si="4">+MROUND($F$28*E31,100)</f>
        <v>0</v>
      </c>
      <c r="G31" s="77"/>
    </row>
    <row r="32" spans="2:19" x14ac:dyDescent="0.2">
      <c r="B32" s="72"/>
      <c r="D32" s="91" t="str">
        <f>Assumptions!B15</f>
        <v>Engineering - Design</v>
      </c>
      <c r="E32" s="96">
        <f>Assumptions!C15</f>
        <v>0.1</v>
      </c>
      <c r="F32" s="64">
        <v>15000</v>
      </c>
      <c r="G32" s="525"/>
    </row>
    <row r="33" spans="2:7" x14ac:dyDescent="0.2">
      <c r="B33" s="72"/>
      <c r="D33" s="91" t="str">
        <f>Assumptions!B16</f>
        <v>Engineering - Construction</v>
      </c>
      <c r="E33" s="96">
        <f>Assumptions!C16</f>
        <v>0.15</v>
      </c>
      <c r="F33" s="64">
        <v>30000</v>
      </c>
      <c r="G33" s="525"/>
    </row>
    <row r="34" spans="2:7" x14ac:dyDescent="0.2">
      <c r="B34" s="32"/>
      <c r="C34" s="63"/>
      <c r="D34" s="94" t="s">
        <v>19</v>
      </c>
      <c r="E34" s="68"/>
      <c r="F34" s="124">
        <f>SUM(F28:F33)</f>
        <v>49900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Aquaculture/Shellfish Propagation - Demonstration 2 - Quanset Pond Oyster Bed</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ht="38.25" x14ac:dyDescent="0.2">
      <c r="B45" s="50" t="s">
        <v>107</v>
      </c>
      <c r="C45" s="51">
        <v>1200</v>
      </c>
      <c r="D45" s="55" t="s">
        <v>47</v>
      </c>
      <c r="E45" s="56">
        <v>40</v>
      </c>
      <c r="F45" s="54">
        <f t="shared" ref="F45:F54" si="5">+MROUND(C45*E45,100)</f>
        <v>48000</v>
      </c>
      <c r="G45" s="58" t="s">
        <v>509</v>
      </c>
    </row>
    <row r="46" spans="2:7" ht="38.25" x14ac:dyDescent="0.2">
      <c r="B46" s="50" t="s">
        <v>108</v>
      </c>
      <c r="C46" s="51">
        <v>900</v>
      </c>
      <c r="D46" s="55" t="s">
        <v>47</v>
      </c>
      <c r="E46" s="56">
        <v>20</v>
      </c>
      <c r="F46" s="54">
        <f t="shared" si="5"/>
        <v>18000</v>
      </c>
      <c r="G46" s="58" t="s">
        <v>510</v>
      </c>
    </row>
    <row r="47" spans="2:7" ht="25.5" x14ac:dyDescent="0.2">
      <c r="B47" s="50" t="s">
        <v>109</v>
      </c>
      <c r="C47" s="51">
        <v>5000</v>
      </c>
      <c r="D47" s="55" t="s">
        <v>56</v>
      </c>
      <c r="E47" s="57">
        <v>14</v>
      </c>
      <c r="F47" s="54">
        <f t="shared" ref="F47:F48" si="6">+MROUND(C47*E47,100)</f>
        <v>70000</v>
      </c>
      <c r="G47" s="58" t="s">
        <v>511</v>
      </c>
    </row>
    <row r="48" spans="2:7" ht="25.5" x14ac:dyDescent="0.2">
      <c r="B48" s="50" t="s">
        <v>512</v>
      </c>
      <c r="C48" s="51">
        <v>1</v>
      </c>
      <c r="D48" s="55" t="s">
        <v>31</v>
      </c>
      <c r="E48" s="56">
        <v>2000</v>
      </c>
      <c r="F48" s="54">
        <f t="shared" si="6"/>
        <v>2000</v>
      </c>
      <c r="G48" s="58" t="s">
        <v>11</v>
      </c>
    </row>
    <row r="49" spans="2:7" x14ac:dyDescent="0.2">
      <c r="B49" s="50" t="s">
        <v>11</v>
      </c>
      <c r="C49" s="51">
        <v>0</v>
      </c>
      <c r="D49" s="55" t="s">
        <v>11</v>
      </c>
      <c r="E49" s="57">
        <v>0</v>
      </c>
      <c r="F49" s="54">
        <f t="shared" si="5"/>
        <v>0</v>
      </c>
      <c r="G49" s="58" t="s">
        <v>11</v>
      </c>
    </row>
    <row r="50" spans="2:7" x14ac:dyDescent="0.2">
      <c r="B50" s="50" t="s">
        <v>11</v>
      </c>
      <c r="C50" s="51">
        <v>0</v>
      </c>
      <c r="D50" s="55" t="s">
        <v>11</v>
      </c>
      <c r="E50" s="56">
        <v>0</v>
      </c>
      <c r="F50" s="54">
        <f t="shared" si="5"/>
        <v>0</v>
      </c>
      <c r="G50" s="58" t="s">
        <v>11</v>
      </c>
    </row>
    <row r="51" spans="2:7" x14ac:dyDescent="0.2">
      <c r="B51" s="50" t="s">
        <v>11</v>
      </c>
      <c r="C51" s="51">
        <v>0</v>
      </c>
      <c r="D51" s="55"/>
      <c r="E51" s="56">
        <v>0</v>
      </c>
      <c r="F51" s="54">
        <f t="shared" si="5"/>
        <v>0</v>
      </c>
      <c r="G51" s="99" t="s">
        <v>11</v>
      </c>
    </row>
    <row r="52" spans="2:7" x14ac:dyDescent="0.2">
      <c r="B52" s="50" t="s">
        <v>11</v>
      </c>
      <c r="C52" s="51">
        <v>0</v>
      </c>
      <c r="D52" s="55"/>
      <c r="E52" s="56">
        <v>0</v>
      </c>
      <c r="F52" s="54">
        <f t="shared" si="5"/>
        <v>0</v>
      </c>
      <c r="G52" s="99" t="s">
        <v>11</v>
      </c>
    </row>
    <row r="53" spans="2:7" x14ac:dyDescent="0.2">
      <c r="B53" s="50" t="s">
        <v>11</v>
      </c>
      <c r="C53" s="51">
        <v>0</v>
      </c>
      <c r="D53" s="55"/>
      <c r="E53" s="56">
        <v>0</v>
      </c>
      <c r="F53" s="54">
        <f t="shared" si="5"/>
        <v>0</v>
      </c>
      <c r="G53" s="99" t="s">
        <v>11</v>
      </c>
    </row>
    <row r="54" spans="2:7" x14ac:dyDescent="0.2">
      <c r="B54" s="50" t="s">
        <v>11</v>
      </c>
      <c r="C54" s="51">
        <v>0</v>
      </c>
      <c r="D54" s="55"/>
      <c r="E54" s="56">
        <v>0</v>
      </c>
      <c r="F54" s="54">
        <f t="shared" si="5"/>
        <v>0</v>
      </c>
      <c r="G54" s="99" t="s">
        <v>11</v>
      </c>
    </row>
    <row r="55" spans="2:7" x14ac:dyDescent="0.2">
      <c r="B55" s="72"/>
      <c r="C55" s="63"/>
      <c r="D55" s="90" t="s">
        <v>3</v>
      </c>
      <c r="E55" s="68"/>
      <c r="F55" s="93">
        <f>SUM(F45:F54)</f>
        <v>138000</v>
      </c>
      <c r="G55" s="98"/>
    </row>
    <row r="56" spans="2:7" x14ac:dyDescent="0.2">
      <c r="B56" s="72"/>
      <c r="D56" s="91" t="str">
        <f>Assumptions!B21</f>
        <v>Contingency</v>
      </c>
      <c r="E56" s="95">
        <f>Assumptions!C21</f>
        <v>0.1</v>
      </c>
      <c r="F56" s="64">
        <f>+MROUND((F55)*E56,100)</f>
        <v>13800</v>
      </c>
      <c r="G56" s="77"/>
    </row>
    <row r="57" spans="2:7" x14ac:dyDescent="0.2">
      <c r="B57" s="72"/>
      <c r="D57" s="91" t="s">
        <v>3</v>
      </c>
      <c r="E57" s="66"/>
      <c r="F57" s="93">
        <f>SUM(F55:F56)</f>
        <v>151800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4600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v>60000</v>
      </c>
      <c r="G62" s="77"/>
    </row>
    <row r="63" spans="2:7" x14ac:dyDescent="0.2">
      <c r="B63" s="32"/>
      <c r="C63" s="63"/>
      <c r="D63" s="94" t="s">
        <v>18</v>
      </c>
      <c r="F63" s="124">
        <f>SUM(F57:F62)</f>
        <v>216400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Aquaculture/Shellfish Propagation - Demonstration 2 - Quanset Pond Oyster Bed</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ht="25.5" x14ac:dyDescent="0.2">
      <c r="B75" s="50" t="s">
        <v>11</v>
      </c>
      <c r="C75" s="51">
        <v>0</v>
      </c>
      <c r="D75" s="55" t="s">
        <v>11</v>
      </c>
      <c r="E75" s="56">
        <v>0</v>
      </c>
      <c r="F75" s="54">
        <f t="shared" ref="F75:F83" si="7">+MROUND(C75*E75,100)</f>
        <v>0</v>
      </c>
      <c r="G75" s="527" t="s">
        <v>498</v>
      </c>
    </row>
    <row r="76" spans="2:7" x14ac:dyDescent="0.2">
      <c r="B76" s="50" t="s">
        <v>11</v>
      </c>
      <c r="C76" s="51">
        <v>0</v>
      </c>
      <c r="D76" s="55"/>
      <c r="E76" s="56">
        <v>0</v>
      </c>
      <c r="F76" s="54">
        <f t="shared" si="7"/>
        <v>0</v>
      </c>
      <c r="G76" s="99" t="s">
        <v>11</v>
      </c>
    </row>
    <row r="77" spans="2:7" x14ac:dyDescent="0.2">
      <c r="B77" s="50" t="s">
        <v>11</v>
      </c>
      <c r="C77" s="51">
        <v>0</v>
      </c>
      <c r="D77" s="55"/>
      <c r="E77" s="56">
        <v>0</v>
      </c>
      <c r="F77" s="54">
        <f t="shared" si="7"/>
        <v>0</v>
      </c>
      <c r="G77" s="99" t="s">
        <v>11</v>
      </c>
    </row>
    <row r="78" spans="2:7" x14ac:dyDescent="0.2">
      <c r="B78" s="50" t="s">
        <v>11</v>
      </c>
      <c r="C78" s="51">
        <v>0</v>
      </c>
      <c r="D78" s="55"/>
      <c r="E78" s="56">
        <v>0</v>
      </c>
      <c r="F78" s="54">
        <f t="shared" si="7"/>
        <v>0</v>
      </c>
      <c r="G78" s="99" t="s">
        <v>11</v>
      </c>
    </row>
    <row r="79" spans="2:7" x14ac:dyDescent="0.2">
      <c r="B79" s="50" t="s">
        <v>11</v>
      </c>
      <c r="C79" s="51">
        <v>0</v>
      </c>
      <c r="D79" s="55"/>
      <c r="E79" s="56">
        <v>0</v>
      </c>
      <c r="F79" s="54">
        <f t="shared" si="7"/>
        <v>0</v>
      </c>
      <c r="G79" s="99" t="s">
        <v>11</v>
      </c>
    </row>
    <row r="80" spans="2:7" x14ac:dyDescent="0.2">
      <c r="B80" s="50" t="s">
        <v>11</v>
      </c>
      <c r="C80" s="51">
        <v>0</v>
      </c>
      <c r="D80" s="55"/>
      <c r="E80" s="56">
        <v>0</v>
      </c>
      <c r="F80" s="54">
        <f t="shared" si="7"/>
        <v>0</v>
      </c>
      <c r="G80" s="99" t="s">
        <v>11</v>
      </c>
    </row>
    <row r="81" spans="2:7" x14ac:dyDescent="0.2">
      <c r="B81" s="50" t="s">
        <v>11</v>
      </c>
      <c r="C81" s="51">
        <v>0</v>
      </c>
      <c r="D81" s="55"/>
      <c r="E81" s="56">
        <v>0</v>
      </c>
      <c r="F81" s="54">
        <f t="shared" si="7"/>
        <v>0</v>
      </c>
      <c r="G81" s="99" t="s">
        <v>11</v>
      </c>
    </row>
    <row r="82" spans="2:7" x14ac:dyDescent="0.2">
      <c r="B82" s="50" t="s">
        <v>11</v>
      </c>
      <c r="C82" s="51">
        <v>0</v>
      </c>
      <c r="D82" s="55"/>
      <c r="E82" s="56">
        <v>0</v>
      </c>
      <c r="F82" s="54">
        <f t="shared" si="7"/>
        <v>0</v>
      </c>
      <c r="G82" s="99" t="s">
        <v>11</v>
      </c>
    </row>
    <row r="83" spans="2:7" x14ac:dyDescent="0.2">
      <c r="B83" s="50" t="s">
        <v>11</v>
      </c>
      <c r="C83" s="51">
        <v>0</v>
      </c>
      <c r="D83" s="55"/>
      <c r="E83" s="56">
        <v>0</v>
      </c>
      <c r="F83" s="54">
        <f t="shared" si="7"/>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Aquaculture/Shellfish Propagation - Demonstration 2 - Quanset Pond Oyster Bed</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44" t="s">
        <v>502</v>
      </c>
      <c r="C105" s="545">
        <v>128</v>
      </c>
      <c r="D105" s="548" t="s">
        <v>56</v>
      </c>
      <c r="E105" s="546">
        <v>100</v>
      </c>
      <c r="F105" s="54">
        <f t="shared" ref="F105:F114" si="8">+MROUND(C105*E105,100)</f>
        <v>12800</v>
      </c>
      <c r="G105" s="547" t="s">
        <v>503</v>
      </c>
    </row>
    <row r="106" spans="2:7" x14ac:dyDescent="0.2">
      <c r="B106" s="544" t="s">
        <v>102</v>
      </c>
      <c r="C106" s="545">
        <v>13</v>
      </c>
      <c r="D106" s="548" t="s">
        <v>56</v>
      </c>
      <c r="E106" s="546">
        <v>100</v>
      </c>
      <c r="F106" s="54">
        <f t="shared" si="8"/>
        <v>1300</v>
      </c>
      <c r="G106" s="547" t="s">
        <v>11</v>
      </c>
    </row>
    <row r="107" spans="2:7" x14ac:dyDescent="0.2">
      <c r="B107" s="544" t="s">
        <v>103</v>
      </c>
      <c r="C107" s="545">
        <v>2</v>
      </c>
      <c r="D107" s="548" t="s">
        <v>56</v>
      </c>
      <c r="E107" s="546">
        <v>4000</v>
      </c>
      <c r="F107" s="54">
        <f t="shared" si="8"/>
        <v>8000</v>
      </c>
      <c r="G107" s="547" t="s">
        <v>504</v>
      </c>
    </row>
    <row r="108" spans="2:7" x14ac:dyDescent="0.2">
      <c r="B108" s="544" t="s">
        <v>104</v>
      </c>
      <c r="C108" s="545">
        <v>1</v>
      </c>
      <c r="D108" s="548" t="s">
        <v>56</v>
      </c>
      <c r="E108" s="546">
        <v>9000</v>
      </c>
      <c r="F108" s="54">
        <f t="shared" ref="F108:F110" si="9">+MROUND(C108*E108,100)</f>
        <v>9000</v>
      </c>
      <c r="G108" s="547" t="s">
        <v>11</v>
      </c>
    </row>
    <row r="109" spans="2:7" x14ac:dyDescent="0.2">
      <c r="B109" s="544" t="s">
        <v>105</v>
      </c>
      <c r="C109" s="545">
        <v>1</v>
      </c>
      <c r="D109" s="548" t="s">
        <v>56</v>
      </c>
      <c r="E109" s="546">
        <v>15000</v>
      </c>
      <c r="F109" s="54">
        <f t="shared" ref="F109" si="10">+MROUND(C109*E109,100)</f>
        <v>15000</v>
      </c>
      <c r="G109" s="547" t="s">
        <v>11</v>
      </c>
    </row>
    <row r="110" spans="2:7" x14ac:dyDescent="0.2">
      <c r="B110" s="544" t="s">
        <v>11</v>
      </c>
      <c r="C110" s="545">
        <v>0</v>
      </c>
      <c r="D110" s="548" t="s">
        <v>11</v>
      </c>
      <c r="E110" s="546">
        <v>0</v>
      </c>
      <c r="F110" s="54">
        <f t="shared" si="9"/>
        <v>0</v>
      </c>
      <c r="G110" s="547" t="s">
        <v>11</v>
      </c>
    </row>
    <row r="111" spans="2:7" x14ac:dyDescent="0.2">
      <c r="B111" s="544" t="s">
        <v>11</v>
      </c>
      <c r="C111" s="545">
        <v>0</v>
      </c>
      <c r="D111" s="548" t="s">
        <v>11</v>
      </c>
      <c r="E111" s="546">
        <v>0</v>
      </c>
      <c r="F111" s="54">
        <f t="shared" si="8"/>
        <v>0</v>
      </c>
      <c r="G111" s="547" t="s">
        <v>11</v>
      </c>
    </row>
    <row r="112" spans="2:7" x14ac:dyDescent="0.2">
      <c r="B112" s="50" t="s">
        <v>11</v>
      </c>
      <c r="C112" s="51">
        <v>0</v>
      </c>
      <c r="D112" s="55"/>
      <c r="E112" s="56">
        <v>0</v>
      </c>
      <c r="F112" s="54">
        <f t="shared" si="8"/>
        <v>0</v>
      </c>
      <c r="G112" s="99" t="s">
        <v>11</v>
      </c>
    </row>
    <row r="113" spans="2:7" x14ac:dyDescent="0.2">
      <c r="B113" s="50" t="s">
        <v>11</v>
      </c>
      <c r="C113" s="51">
        <v>0</v>
      </c>
      <c r="D113" s="55"/>
      <c r="E113" s="56">
        <v>0</v>
      </c>
      <c r="F113" s="54">
        <f t="shared" si="8"/>
        <v>0</v>
      </c>
      <c r="G113" s="99" t="s">
        <v>11</v>
      </c>
    </row>
    <row r="114" spans="2:7" x14ac:dyDescent="0.2">
      <c r="B114" s="50" t="s">
        <v>11</v>
      </c>
      <c r="C114" s="51">
        <v>0</v>
      </c>
      <c r="D114" s="55"/>
      <c r="E114" s="56">
        <v>0</v>
      </c>
      <c r="F114" s="54">
        <f t="shared" si="8"/>
        <v>0</v>
      </c>
      <c r="G114" s="99" t="s">
        <v>11</v>
      </c>
    </row>
    <row r="115" spans="2:7" x14ac:dyDescent="0.2">
      <c r="B115" s="72"/>
      <c r="C115" s="63"/>
      <c r="D115" s="90" t="s">
        <v>3</v>
      </c>
      <c r="E115" s="68"/>
      <c r="F115" s="93">
        <f>SUM(F105:F114)</f>
        <v>46100</v>
      </c>
      <c r="G115" s="98"/>
    </row>
    <row r="116" spans="2:7" x14ac:dyDescent="0.2">
      <c r="B116" s="72"/>
      <c r="D116" s="91" t="str">
        <f>Assumptions!B45</f>
        <v>Contingency</v>
      </c>
      <c r="E116" s="95">
        <f>Assumptions!C45</f>
        <v>0.1</v>
      </c>
      <c r="F116" s="64">
        <f>+MROUND((F115)*E116,100)</f>
        <v>4600</v>
      </c>
      <c r="G116" s="77"/>
    </row>
    <row r="117" spans="2:7" x14ac:dyDescent="0.2">
      <c r="B117" s="72"/>
      <c r="D117" s="91" t="s">
        <v>3</v>
      </c>
      <c r="E117" s="66"/>
      <c r="F117" s="93">
        <f>SUM(F115:F116)</f>
        <v>50700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2500</v>
      </c>
      <c r="G119" s="77"/>
    </row>
    <row r="120" spans="2:7" x14ac:dyDescent="0.2">
      <c r="B120" s="72"/>
      <c r="D120" s="91" t="str">
        <f>Assumptions!B48</f>
        <v>Engineering - Planning/Consultation</v>
      </c>
      <c r="E120" s="96">
        <f>Assumptions!C48</f>
        <v>0.03</v>
      </c>
      <c r="F120" s="64">
        <f>+MROUND($F$117*E120,100)</f>
        <v>1500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54700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D45:D47 D49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S140"/>
  <sheetViews>
    <sheetView zoomScaleNormal="100" zoomScaleSheetLayoutView="75" workbookViewId="0">
      <selection activeCell="G8" sqref="G8"/>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542</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t="s">
        <v>11</v>
      </c>
      <c r="C10" s="51">
        <v>0</v>
      </c>
      <c r="D10" s="55" t="s">
        <v>11</v>
      </c>
      <c r="E10" s="56">
        <v>0</v>
      </c>
      <c r="F10" s="54">
        <f t="shared" ref="F10:F22" si="0">+MROUND(C10*E10,100)</f>
        <v>0</v>
      </c>
      <c r="G10" s="58" t="s">
        <v>11</v>
      </c>
      <c r="S10" s="147"/>
    </row>
    <row r="11" spans="2:19" x14ac:dyDescent="0.2">
      <c r="B11" s="50" t="s">
        <v>11</v>
      </c>
      <c r="C11" s="51">
        <v>0</v>
      </c>
      <c r="D11" s="55" t="s">
        <v>11</v>
      </c>
      <c r="E11" s="56">
        <v>0</v>
      </c>
      <c r="F11" s="54">
        <f t="shared" si="0"/>
        <v>0</v>
      </c>
      <c r="G11" s="99" t="s">
        <v>11</v>
      </c>
      <c r="S11" s="147"/>
    </row>
    <row r="12" spans="2:19" x14ac:dyDescent="0.2">
      <c r="B12" s="50" t="s">
        <v>11</v>
      </c>
      <c r="C12" s="51">
        <v>0</v>
      </c>
      <c r="D12" s="55" t="s">
        <v>11</v>
      </c>
      <c r="E12" s="56">
        <v>0</v>
      </c>
      <c r="F12" s="54">
        <f t="shared" si="0"/>
        <v>0</v>
      </c>
      <c r="G12" s="99" t="s">
        <v>11</v>
      </c>
      <c r="S12" s="147"/>
    </row>
    <row r="13" spans="2:19" x14ac:dyDescent="0.2">
      <c r="B13" s="50" t="s">
        <v>11</v>
      </c>
      <c r="C13" s="51">
        <v>0</v>
      </c>
      <c r="D13" s="55" t="s">
        <v>11</v>
      </c>
      <c r="E13" s="56">
        <v>0</v>
      </c>
      <c r="F13" s="54">
        <f t="shared" si="0"/>
        <v>0</v>
      </c>
      <c r="G13" s="99" t="s">
        <v>11</v>
      </c>
      <c r="S13" s="147"/>
    </row>
    <row r="14" spans="2:19" x14ac:dyDescent="0.2">
      <c r="B14" s="50" t="s">
        <v>11</v>
      </c>
      <c r="C14" s="51">
        <v>0</v>
      </c>
      <c r="D14" s="55" t="s">
        <v>11</v>
      </c>
      <c r="E14" s="56">
        <v>0</v>
      </c>
      <c r="F14" s="54">
        <f t="shared" si="0"/>
        <v>0</v>
      </c>
      <c r="G14" s="99" t="s">
        <v>11</v>
      </c>
      <c r="S14" s="147"/>
    </row>
    <row r="15" spans="2:19" x14ac:dyDescent="0.2">
      <c r="B15" s="50" t="s">
        <v>11</v>
      </c>
      <c r="C15" s="51">
        <v>0</v>
      </c>
      <c r="D15" s="55" t="s">
        <v>11</v>
      </c>
      <c r="E15" s="56">
        <v>0</v>
      </c>
      <c r="F15" s="54">
        <f t="shared" si="0"/>
        <v>0</v>
      </c>
      <c r="G15" s="99" t="s">
        <v>11</v>
      </c>
      <c r="S15" s="147"/>
    </row>
    <row r="16" spans="2:19" x14ac:dyDescent="0.2">
      <c r="B16" s="50" t="s">
        <v>11</v>
      </c>
      <c r="C16" s="51">
        <v>0</v>
      </c>
      <c r="D16" s="55" t="s">
        <v>11</v>
      </c>
      <c r="E16" s="56">
        <v>0</v>
      </c>
      <c r="F16" s="54">
        <f t="shared" si="0"/>
        <v>0</v>
      </c>
      <c r="G16" s="99" t="s">
        <v>11</v>
      </c>
      <c r="S16" s="147"/>
    </row>
    <row r="17" spans="2:19" x14ac:dyDescent="0.2">
      <c r="B17" s="50" t="s">
        <v>11</v>
      </c>
      <c r="C17" s="51">
        <v>0</v>
      </c>
      <c r="D17" s="55" t="s">
        <v>11</v>
      </c>
      <c r="E17" s="56">
        <v>0</v>
      </c>
      <c r="F17" s="54">
        <f t="shared" si="0"/>
        <v>0</v>
      </c>
      <c r="G17" s="99" t="s">
        <v>11</v>
      </c>
      <c r="S17" s="147"/>
    </row>
    <row r="18" spans="2:19" x14ac:dyDescent="0.2">
      <c r="B18" s="50" t="s">
        <v>11</v>
      </c>
      <c r="C18" s="51">
        <v>0</v>
      </c>
      <c r="D18" s="55" t="s">
        <v>11</v>
      </c>
      <c r="E18" s="56">
        <v>0</v>
      </c>
      <c r="F18" s="54">
        <f t="shared" si="0"/>
        <v>0</v>
      </c>
      <c r="G18" s="99" t="s">
        <v>11</v>
      </c>
      <c r="S18" s="147"/>
    </row>
    <row r="19" spans="2:19" x14ac:dyDescent="0.2">
      <c r="B19" s="50" t="s">
        <v>11</v>
      </c>
      <c r="C19" s="51">
        <v>0</v>
      </c>
      <c r="D19" s="55" t="s">
        <v>11</v>
      </c>
      <c r="E19" s="56">
        <v>0</v>
      </c>
      <c r="F19" s="54">
        <f t="shared" si="0"/>
        <v>0</v>
      </c>
      <c r="G19" s="99" t="s">
        <v>11</v>
      </c>
      <c r="S19" s="147"/>
    </row>
    <row r="20" spans="2:19" x14ac:dyDescent="0.2">
      <c r="B20" s="50" t="s">
        <v>11</v>
      </c>
      <c r="C20" s="51">
        <v>0</v>
      </c>
      <c r="D20" s="55" t="s">
        <v>11</v>
      </c>
      <c r="E20" s="56">
        <v>0</v>
      </c>
      <c r="F20" s="54">
        <f t="shared" si="0"/>
        <v>0</v>
      </c>
      <c r="G20" s="99" t="s">
        <v>11</v>
      </c>
      <c r="S20" s="147"/>
    </row>
    <row r="21" spans="2:19" x14ac:dyDescent="0.2">
      <c r="B21" s="50" t="s">
        <v>11</v>
      </c>
      <c r="C21" s="51">
        <v>0</v>
      </c>
      <c r="D21" s="55" t="s">
        <v>11</v>
      </c>
      <c r="E21" s="56">
        <v>0</v>
      </c>
      <c r="F21" s="54">
        <f t="shared" si="0"/>
        <v>0</v>
      </c>
      <c r="G21" s="99" t="s">
        <v>11</v>
      </c>
      <c r="S21" s="147"/>
    </row>
    <row r="22" spans="2:19" x14ac:dyDescent="0.2">
      <c r="B22" s="50" t="s">
        <v>11</v>
      </c>
      <c r="C22" s="51">
        <v>0</v>
      </c>
      <c r="D22" s="55" t="s">
        <v>11</v>
      </c>
      <c r="E22" s="56">
        <v>0</v>
      </c>
      <c r="F22" s="54">
        <f t="shared" si="0"/>
        <v>0</v>
      </c>
      <c r="G22" s="99" t="s">
        <v>11</v>
      </c>
      <c r="S22" s="147"/>
    </row>
    <row r="23" spans="2:19" x14ac:dyDescent="0.2">
      <c r="B23" s="50" t="s">
        <v>11</v>
      </c>
      <c r="C23" s="51">
        <v>0</v>
      </c>
      <c r="D23" s="55" t="s">
        <v>11</v>
      </c>
      <c r="E23" s="56">
        <v>0</v>
      </c>
      <c r="F23" s="54">
        <f t="shared" ref="F23" si="1">+MROUND(C23*E23,1000)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v>0.1</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v>1900</v>
      </c>
      <c r="G30" s="77"/>
    </row>
    <row r="31" spans="2:19" x14ac:dyDescent="0.2">
      <c r="B31" s="72"/>
      <c r="D31" s="91" t="str">
        <f>Assumptions!B14</f>
        <v>Engineering - Planning/Consultation</v>
      </c>
      <c r="E31" s="96">
        <f>Assumptions!C14</f>
        <v>0.05</v>
      </c>
      <c r="F31" s="64">
        <f t="shared" ref="F31" si="2">+MROUND($F$28*E31,100)</f>
        <v>0</v>
      </c>
      <c r="G31" s="77"/>
    </row>
    <row r="32" spans="2:19" x14ac:dyDescent="0.2">
      <c r="B32" s="72"/>
      <c r="D32" s="91" t="str">
        <f>Assumptions!B15</f>
        <v>Engineering - Design</v>
      </c>
      <c r="E32" s="538">
        <f>Assumptions!C15</f>
        <v>0.1</v>
      </c>
      <c r="F32" s="64">
        <v>20000</v>
      </c>
      <c r="G32" s="77"/>
    </row>
    <row r="33" spans="2:7" x14ac:dyDescent="0.2">
      <c r="B33" s="72"/>
      <c r="D33" s="91" t="str">
        <f>Assumptions!B16</f>
        <v>Engineering - Construction</v>
      </c>
      <c r="E33" s="96">
        <f>Assumptions!C16</f>
        <v>0.15</v>
      </c>
      <c r="F33" s="64">
        <v>55000</v>
      </c>
      <c r="G33" s="77"/>
    </row>
    <row r="34" spans="2:7" x14ac:dyDescent="0.2">
      <c r="B34" s="32"/>
      <c r="C34" s="63"/>
      <c r="D34" s="94" t="s">
        <v>19</v>
      </c>
      <c r="E34" s="68"/>
      <c r="F34" s="124">
        <f>SUM(F28:F33)</f>
        <v>76900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Aquaculture/Shellfish Propagation - Demonstration 3 - Shellfish Extension Program</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t="s">
        <v>11</v>
      </c>
      <c r="E45" s="59">
        <v>0</v>
      </c>
      <c r="F45" s="54">
        <f t="shared" ref="F45:F54" si="3">+MROUND(C45*E45,100)</f>
        <v>0</v>
      </c>
      <c r="G45" s="58" t="s">
        <v>11</v>
      </c>
    </row>
    <row r="46" spans="2:7" x14ac:dyDescent="0.2">
      <c r="B46" s="50" t="s">
        <v>11</v>
      </c>
      <c r="C46" s="51">
        <v>0</v>
      </c>
      <c r="D46" s="55" t="s">
        <v>11</v>
      </c>
      <c r="E46" s="56">
        <v>0</v>
      </c>
      <c r="F46" s="54">
        <f t="shared" si="3"/>
        <v>0</v>
      </c>
      <c r="G46" s="99" t="s">
        <v>11</v>
      </c>
    </row>
    <row r="47" spans="2:7" x14ac:dyDescent="0.2">
      <c r="B47" s="50" t="s">
        <v>11</v>
      </c>
      <c r="C47" s="51">
        <v>0</v>
      </c>
      <c r="D47" s="55" t="s">
        <v>11</v>
      </c>
      <c r="E47" s="56">
        <v>0</v>
      </c>
      <c r="F47" s="54">
        <f t="shared" si="3"/>
        <v>0</v>
      </c>
      <c r="G47" s="99" t="s">
        <v>11</v>
      </c>
    </row>
    <row r="48" spans="2:7" x14ac:dyDescent="0.2">
      <c r="B48" s="50" t="s">
        <v>11</v>
      </c>
      <c r="C48" s="51">
        <v>0</v>
      </c>
      <c r="D48" s="55" t="s">
        <v>11</v>
      </c>
      <c r="E48" s="56">
        <v>0</v>
      </c>
      <c r="F48" s="54">
        <f t="shared" si="3"/>
        <v>0</v>
      </c>
      <c r="G48" s="99" t="s">
        <v>11</v>
      </c>
    </row>
    <row r="49" spans="2:7" x14ac:dyDescent="0.2">
      <c r="B49" s="50" t="s">
        <v>11</v>
      </c>
      <c r="C49" s="51">
        <v>0</v>
      </c>
      <c r="D49" s="55" t="s">
        <v>11</v>
      </c>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Aquaculture/Shellfish Propagation - Demonstration 3 - Shellfish Extension Program</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12500</v>
      </c>
      <c r="F74" s="111">
        <f>+MROUND(C74*E74,100)</f>
        <v>12500</v>
      </c>
      <c r="G74" s="112" t="str">
        <f>CONCATENATE(Assumptions!C33*100,"%"," ","of Other Items")</f>
        <v>5% of Other Items</v>
      </c>
    </row>
    <row r="75" spans="2:7" ht="51" x14ac:dyDescent="0.2">
      <c r="B75" s="50" t="s">
        <v>111</v>
      </c>
      <c r="C75" s="51">
        <v>2500000</v>
      </c>
      <c r="D75" s="55" t="s">
        <v>56</v>
      </c>
      <c r="E75" s="59">
        <v>0.1</v>
      </c>
      <c r="F75" s="54">
        <f t="shared" ref="F75" si="4">+MROUND(C75*E75,100)</f>
        <v>250000</v>
      </c>
      <c r="G75" s="58" t="s">
        <v>506</v>
      </c>
    </row>
    <row r="76" spans="2:7" x14ac:dyDescent="0.2">
      <c r="B76" s="50" t="s">
        <v>11</v>
      </c>
      <c r="C76" s="51">
        <v>0</v>
      </c>
      <c r="D76" s="55" t="s">
        <v>11</v>
      </c>
      <c r="E76" s="56">
        <v>0</v>
      </c>
      <c r="F76" s="54">
        <f t="shared" ref="F76:F83" si="5">+MROUND(C76*E76,100)</f>
        <v>0</v>
      </c>
      <c r="G76" s="99" t="s">
        <v>11</v>
      </c>
    </row>
    <row r="77" spans="2:7" x14ac:dyDescent="0.2">
      <c r="B77" s="50"/>
      <c r="C77" s="51">
        <v>0</v>
      </c>
      <c r="D77" s="55"/>
      <c r="E77" s="56">
        <v>0</v>
      </c>
      <c r="F77" s="54">
        <f t="shared" si="5"/>
        <v>0</v>
      </c>
      <c r="G77" s="99" t="s">
        <v>11</v>
      </c>
    </row>
    <row r="78" spans="2:7" x14ac:dyDescent="0.2">
      <c r="B78" s="50"/>
      <c r="C78" s="51">
        <v>0</v>
      </c>
      <c r="D78" s="55"/>
      <c r="E78" s="56">
        <v>0</v>
      </c>
      <c r="F78" s="54">
        <f t="shared" si="5"/>
        <v>0</v>
      </c>
      <c r="G78" s="99" t="s">
        <v>11</v>
      </c>
    </row>
    <row r="79" spans="2:7" x14ac:dyDescent="0.2">
      <c r="B79" s="50"/>
      <c r="C79" s="51">
        <v>0</v>
      </c>
      <c r="D79" s="55"/>
      <c r="E79" s="56">
        <v>0</v>
      </c>
      <c r="F79" s="54">
        <f t="shared" si="5"/>
        <v>0</v>
      </c>
      <c r="G79" s="99" t="s">
        <v>11</v>
      </c>
    </row>
    <row r="80" spans="2:7" x14ac:dyDescent="0.2">
      <c r="B80" s="50"/>
      <c r="C80" s="51">
        <v>0</v>
      </c>
      <c r="D80" s="55"/>
      <c r="E80" s="56">
        <v>0</v>
      </c>
      <c r="F80" s="54">
        <f t="shared" si="5"/>
        <v>0</v>
      </c>
      <c r="G80" s="99" t="s">
        <v>11</v>
      </c>
    </row>
    <row r="81" spans="2:7" x14ac:dyDescent="0.2">
      <c r="B81" s="50"/>
      <c r="C81" s="51">
        <v>0</v>
      </c>
      <c r="D81" s="55"/>
      <c r="E81" s="56">
        <v>0</v>
      </c>
      <c r="F81" s="54">
        <f t="shared" si="5"/>
        <v>0</v>
      </c>
      <c r="G81" s="99" t="s">
        <v>11</v>
      </c>
    </row>
    <row r="82" spans="2:7" x14ac:dyDescent="0.2">
      <c r="B82" s="50"/>
      <c r="C82" s="51">
        <v>0</v>
      </c>
      <c r="D82" s="55"/>
      <c r="E82" s="56">
        <v>0</v>
      </c>
      <c r="F82" s="54">
        <f t="shared" si="5"/>
        <v>0</v>
      </c>
      <c r="G82" s="99" t="s">
        <v>11</v>
      </c>
    </row>
    <row r="83" spans="2:7" x14ac:dyDescent="0.2">
      <c r="B83" s="50"/>
      <c r="C83" s="51">
        <v>0</v>
      </c>
      <c r="D83" s="55"/>
      <c r="E83" s="56">
        <v>0</v>
      </c>
      <c r="F83" s="54">
        <f t="shared" si="5"/>
        <v>0</v>
      </c>
      <c r="G83" s="99" t="s">
        <v>11</v>
      </c>
    </row>
    <row r="84" spans="2:7" x14ac:dyDescent="0.2">
      <c r="B84" s="72"/>
      <c r="C84" s="63"/>
      <c r="D84" s="90" t="s">
        <v>3</v>
      </c>
      <c r="E84" s="68"/>
      <c r="F84" s="93">
        <f>SUM(F74:F83)</f>
        <v>262500</v>
      </c>
      <c r="G84" s="98"/>
    </row>
    <row r="85" spans="2:7" x14ac:dyDescent="0.2">
      <c r="B85" s="72"/>
      <c r="D85" s="91" t="str">
        <f>Assumptions!B34</f>
        <v>Overhead and Profit</v>
      </c>
      <c r="E85" s="95">
        <f>Assumptions!C34</f>
        <v>0.22</v>
      </c>
      <c r="F85" s="67">
        <f>+MROUND(F84*E85,100)</f>
        <v>57800</v>
      </c>
      <c r="G85" s="77"/>
    </row>
    <row r="86" spans="2:7" x14ac:dyDescent="0.2">
      <c r="B86" s="72"/>
      <c r="D86" s="91" t="s">
        <v>3</v>
      </c>
      <c r="E86" s="66"/>
      <c r="F86" s="92">
        <f>F85+F84</f>
        <v>320300</v>
      </c>
      <c r="G86" s="77"/>
    </row>
    <row r="87" spans="2:7" x14ac:dyDescent="0.2">
      <c r="B87" s="72"/>
      <c r="D87" s="91" t="str">
        <f>Assumptions!B35</f>
        <v>Contingency</v>
      </c>
      <c r="E87" s="96">
        <f>Assumptions!C35</f>
        <v>0.3</v>
      </c>
      <c r="F87" s="64">
        <f>+MROUND((F86)*E87,100)</f>
        <v>96100</v>
      </c>
      <c r="G87" s="77"/>
    </row>
    <row r="88" spans="2:7" x14ac:dyDescent="0.2">
      <c r="B88" s="72"/>
      <c r="D88" s="91" t="s">
        <v>36</v>
      </c>
      <c r="E88" s="66"/>
      <c r="F88" s="93">
        <f>SUM(F86:F87)</f>
        <v>416400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12500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41600</v>
      </c>
      <c r="G92" s="77"/>
    </row>
    <row r="93" spans="2:7" x14ac:dyDescent="0.2">
      <c r="B93" s="72"/>
      <c r="D93" s="91" t="str">
        <f>Assumptions!B40</f>
        <v>Engineering - Construction</v>
      </c>
      <c r="E93" s="96">
        <f>Assumptions!C40</f>
        <v>0.15</v>
      </c>
      <c r="F93" s="64">
        <f>+MROUND($F$88*E93,100)</f>
        <v>62500</v>
      </c>
      <c r="G93" s="77"/>
    </row>
    <row r="94" spans="2:7" x14ac:dyDescent="0.2">
      <c r="B94" s="32"/>
      <c r="C94" s="63"/>
      <c r="D94" s="94" t="s">
        <v>58</v>
      </c>
      <c r="E94" s="68"/>
      <c r="F94" s="124">
        <f>SUM(F88:F93)</f>
        <v>533000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Aquaculture/Shellfish Propagation - Demonstration 3 - Shellfish Extension Program</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32" t="s">
        <v>502</v>
      </c>
      <c r="C105" s="533">
        <v>160</v>
      </c>
      <c r="D105" s="536" t="s">
        <v>56</v>
      </c>
      <c r="E105" s="534">
        <v>100</v>
      </c>
      <c r="F105" s="54">
        <f t="shared" ref="F105:F114" si="6">+MROUND(C105*E105,100)</f>
        <v>16000</v>
      </c>
      <c r="G105" s="535" t="s">
        <v>503</v>
      </c>
    </row>
    <row r="106" spans="2:7" x14ac:dyDescent="0.2">
      <c r="B106" s="532" t="s">
        <v>102</v>
      </c>
      <c r="C106" s="533">
        <v>16</v>
      </c>
      <c r="D106" s="536" t="s">
        <v>56</v>
      </c>
      <c r="E106" s="534">
        <v>100</v>
      </c>
      <c r="F106" s="54">
        <f t="shared" si="6"/>
        <v>1600</v>
      </c>
      <c r="G106" s="535" t="s">
        <v>11</v>
      </c>
    </row>
    <row r="107" spans="2:7" x14ac:dyDescent="0.2">
      <c r="B107" s="532" t="s">
        <v>103</v>
      </c>
      <c r="C107" s="533">
        <v>2</v>
      </c>
      <c r="D107" s="536" t="s">
        <v>56</v>
      </c>
      <c r="E107" s="534">
        <v>4000</v>
      </c>
      <c r="F107" s="54">
        <f t="shared" si="6"/>
        <v>8000</v>
      </c>
      <c r="G107" s="535" t="s">
        <v>112</v>
      </c>
    </row>
    <row r="108" spans="2:7" x14ac:dyDescent="0.2">
      <c r="B108" s="532" t="s">
        <v>104</v>
      </c>
      <c r="C108" s="533">
        <v>1</v>
      </c>
      <c r="D108" s="536" t="s">
        <v>56</v>
      </c>
      <c r="E108" s="534">
        <v>9000</v>
      </c>
      <c r="F108" s="54">
        <f t="shared" si="6"/>
        <v>9000</v>
      </c>
      <c r="G108" s="535" t="s">
        <v>11</v>
      </c>
    </row>
    <row r="109" spans="2:7" x14ac:dyDescent="0.2">
      <c r="B109" s="532" t="s">
        <v>105</v>
      </c>
      <c r="C109" s="533">
        <v>1</v>
      </c>
      <c r="D109" s="536" t="s">
        <v>56</v>
      </c>
      <c r="E109" s="534">
        <v>15000</v>
      </c>
      <c r="F109" s="54">
        <f t="shared" si="6"/>
        <v>15000</v>
      </c>
      <c r="G109" s="535" t="s">
        <v>11</v>
      </c>
    </row>
    <row r="110" spans="2:7" x14ac:dyDescent="0.2">
      <c r="B110" s="532" t="s">
        <v>11</v>
      </c>
      <c r="C110" s="533">
        <v>0</v>
      </c>
      <c r="D110" s="536" t="s">
        <v>11</v>
      </c>
      <c r="E110" s="534">
        <v>0</v>
      </c>
      <c r="F110" s="54">
        <f t="shared" si="6"/>
        <v>0</v>
      </c>
      <c r="G110" s="535" t="s">
        <v>11</v>
      </c>
    </row>
    <row r="111" spans="2:7" x14ac:dyDescent="0.2">
      <c r="B111" s="532" t="s">
        <v>11</v>
      </c>
      <c r="C111" s="533">
        <v>0</v>
      </c>
      <c r="D111" s="536" t="s">
        <v>11</v>
      </c>
      <c r="E111" s="534">
        <v>0</v>
      </c>
      <c r="F111" s="54">
        <f t="shared" si="6"/>
        <v>0</v>
      </c>
      <c r="G111" s="535" t="s">
        <v>11</v>
      </c>
    </row>
    <row r="112" spans="2:7" x14ac:dyDescent="0.2">
      <c r="B112" s="532" t="s">
        <v>11</v>
      </c>
      <c r="C112" s="533">
        <v>0</v>
      </c>
      <c r="D112" s="536"/>
      <c r="E112" s="534">
        <v>0</v>
      </c>
      <c r="F112" s="54">
        <f t="shared" si="6"/>
        <v>0</v>
      </c>
      <c r="G112" s="535" t="s">
        <v>11</v>
      </c>
    </row>
    <row r="113" spans="2:7" x14ac:dyDescent="0.2">
      <c r="B113" s="50" t="s">
        <v>11</v>
      </c>
      <c r="C113" s="51">
        <v>0</v>
      </c>
      <c r="D113" s="55"/>
      <c r="E113" s="56">
        <v>0</v>
      </c>
      <c r="F113" s="54">
        <f t="shared" si="6"/>
        <v>0</v>
      </c>
      <c r="G113" s="99" t="s">
        <v>11</v>
      </c>
    </row>
    <row r="114" spans="2:7" x14ac:dyDescent="0.2">
      <c r="B114" s="50" t="s">
        <v>11</v>
      </c>
      <c r="C114" s="51">
        <v>0</v>
      </c>
      <c r="D114" s="55"/>
      <c r="E114" s="56">
        <v>0</v>
      </c>
      <c r="F114" s="54">
        <f t="shared" si="6"/>
        <v>0</v>
      </c>
      <c r="G114" s="99" t="s">
        <v>11</v>
      </c>
    </row>
    <row r="115" spans="2:7" x14ac:dyDescent="0.2">
      <c r="B115" s="72"/>
      <c r="C115" s="63"/>
      <c r="D115" s="90" t="s">
        <v>3</v>
      </c>
      <c r="E115" s="68"/>
      <c r="F115" s="93">
        <f>SUM(F105:F114)</f>
        <v>49600</v>
      </c>
      <c r="G115" s="98"/>
    </row>
    <row r="116" spans="2:7" x14ac:dyDescent="0.2">
      <c r="B116" s="72"/>
      <c r="D116" s="91" t="str">
        <f>Assumptions!B45</f>
        <v>Contingency</v>
      </c>
      <c r="E116" s="95">
        <f>Assumptions!C45</f>
        <v>0.1</v>
      </c>
      <c r="F116" s="64">
        <f>+MROUND((F115)*E116,100)</f>
        <v>5000</v>
      </c>
      <c r="G116" s="77"/>
    </row>
    <row r="117" spans="2:7" x14ac:dyDescent="0.2">
      <c r="B117" s="72"/>
      <c r="D117" s="91" t="s">
        <v>3</v>
      </c>
      <c r="E117" s="66"/>
      <c r="F117" s="93">
        <f>SUM(F115:F116)</f>
        <v>54600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2700</v>
      </c>
      <c r="G119" s="77"/>
    </row>
    <row r="120" spans="2:7" x14ac:dyDescent="0.2">
      <c r="B120" s="72"/>
      <c r="D120" s="91" t="str">
        <f>Assumptions!B48</f>
        <v>Engineering - Planning/Consultation</v>
      </c>
      <c r="E120" s="96">
        <f>Assumptions!C48</f>
        <v>0.03</v>
      </c>
      <c r="F120" s="64">
        <f>+MROUND($F$117*E120,100)</f>
        <v>1600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58900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D10:D23 D45:D54 D105:D114 D75:D83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S140"/>
  <sheetViews>
    <sheetView zoomScaleNormal="100" zoomScaleSheetLayoutView="75"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543</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1175</v>
      </c>
      <c r="F9" s="64">
        <f>+MROUND(C9*E9,100)</f>
        <v>1200</v>
      </c>
      <c r="G9" s="77" t="str">
        <f>CONCATENATE(Assumptions!C9*100,"%"," ","of Other Items")</f>
        <v>5% of Other Items</v>
      </c>
      <c r="S9" s="147"/>
    </row>
    <row r="10" spans="2:19" x14ac:dyDescent="0.2">
      <c r="B10" s="528" t="s">
        <v>500</v>
      </c>
      <c r="C10" s="529">
        <v>1</v>
      </c>
      <c r="D10" s="530" t="s">
        <v>31</v>
      </c>
      <c r="E10" s="531">
        <v>3500</v>
      </c>
      <c r="F10" s="54">
        <f t="shared" ref="F10:F22" si="0">+MROUND(C10*E10,100)</f>
        <v>3500</v>
      </c>
      <c r="G10" s="99" t="s">
        <v>11</v>
      </c>
      <c r="S10" s="147"/>
    </row>
    <row r="11" spans="2:19" x14ac:dyDescent="0.2">
      <c r="B11" s="528" t="s">
        <v>501</v>
      </c>
      <c r="C11" s="529">
        <v>20</v>
      </c>
      <c r="D11" s="530" t="s">
        <v>56</v>
      </c>
      <c r="E11" s="531">
        <v>1000</v>
      </c>
      <c r="F11" s="54">
        <f t="shared" si="0"/>
        <v>20000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24700</v>
      </c>
      <c r="G24" s="98"/>
    </row>
    <row r="25" spans="2:19" x14ac:dyDescent="0.2">
      <c r="B25" s="72"/>
      <c r="D25" s="91" t="str">
        <f>Assumptions!B10</f>
        <v>Overhead and Profit</v>
      </c>
      <c r="E25" s="95">
        <f>Assumptions!C10</f>
        <v>0.22</v>
      </c>
      <c r="F25" s="67">
        <f>+MROUND(F24*E25,100)</f>
        <v>5400</v>
      </c>
      <c r="G25" s="77"/>
    </row>
    <row r="26" spans="2:19" x14ac:dyDescent="0.2">
      <c r="B26" s="72"/>
      <c r="D26" s="91" t="s">
        <v>3</v>
      </c>
      <c r="E26" s="66"/>
      <c r="F26" s="92">
        <f>F25+F24</f>
        <v>30100</v>
      </c>
      <c r="G26" s="77"/>
    </row>
    <row r="27" spans="2:19" x14ac:dyDescent="0.2">
      <c r="B27" s="72"/>
      <c r="D27" s="91" t="str">
        <f>Assumptions!B11</f>
        <v>Contingency</v>
      </c>
      <c r="E27" s="96">
        <f>Assumptions!C11</f>
        <v>0.25</v>
      </c>
      <c r="F27" s="64">
        <f>+MROUND((F26)*E27,100)</f>
        <v>7500</v>
      </c>
      <c r="G27" s="77"/>
    </row>
    <row r="28" spans="2:19" x14ac:dyDescent="0.2">
      <c r="B28" s="72"/>
      <c r="D28" s="91" t="s">
        <v>36</v>
      </c>
      <c r="E28" s="96"/>
      <c r="F28" s="93">
        <f>SUM(F26:F27)</f>
        <v>37600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1900</v>
      </c>
      <c r="G30" s="77"/>
    </row>
    <row r="31" spans="2:19" x14ac:dyDescent="0.2">
      <c r="B31" s="72"/>
      <c r="D31" s="91" t="str">
        <f>Assumptions!B14</f>
        <v>Engineering - Planning/Consultation</v>
      </c>
      <c r="E31" s="96">
        <f>Assumptions!C14</f>
        <v>0.05</v>
      </c>
      <c r="F31" s="64">
        <f t="shared" ref="F31:F33" si="2">+MROUND($F$28*E31,100)</f>
        <v>1900</v>
      </c>
      <c r="G31" s="77"/>
    </row>
    <row r="32" spans="2:19" x14ac:dyDescent="0.2">
      <c r="B32" s="72"/>
      <c r="D32" s="91" t="str">
        <f>Assumptions!B15</f>
        <v>Engineering - Design</v>
      </c>
      <c r="E32" s="96">
        <f>Assumptions!C15</f>
        <v>0.1</v>
      </c>
      <c r="F32" s="64">
        <f t="shared" si="2"/>
        <v>3800</v>
      </c>
      <c r="G32" s="77"/>
    </row>
    <row r="33" spans="2:7" x14ac:dyDescent="0.2">
      <c r="B33" s="72"/>
      <c r="D33" s="91" t="str">
        <f>Assumptions!B16</f>
        <v>Engineering - Construction</v>
      </c>
      <c r="E33" s="96">
        <f>Assumptions!C16</f>
        <v>0.15</v>
      </c>
      <c r="F33" s="64">
        <f t="shared" si="2"/>
        <v>5600</v>
      </c>
      <c r="G33" s="77"/>
    </row>
    <row r="34" spans="2:7" x14ac:dyDescent="0.2">
      <c r="B34" s="32"/>
      <c r="C34" s="63"/>
      <c r="D34" s="94" t="s">
        <v>19</v>
      </c>
      <c r="E34" s="68"/>
      <c r="F34" s="124">
        <f>SUM(F28:F33)</f>
        <v>50800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Aquaculture/Shellfish Propagation - Demonstration 4 - Quahog Inventory</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Aquaculture/Shellfish Propagation - Demonstration 4 - Quahog Inventory</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Aquaculture/Shellfish Propagation - Demonstration 4 - Quahog Inventory</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c r="E105" s="56">
        <v>0</v>
      </c>
      <c r="F105" s="54">
        <f>+MROUND(C105*E105,100)</f>
        <v>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Units!$B$7:$B$22</xm:f>
          </x14:formula1>
          <xm:sqref>D45:D54 D75:D83 D105:D114 D10:D23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S140"/>
  <sheetViews>
    <sheetView zoomScaleNormal="100" zoomScaleSheetLayoutView="75"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544</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10000</v>
      </c>
      <c r="F9" s="64">
        <f>+MROUND(C9*E9,100)</f>
        <v>10000</v>
      </c>
      <c r="G9" s="77" t="str">
        <f>CONCATENATE(Assumptions!C9*100,"%"," ","of Other Items")</f>
        <v>5% of Other Items</v>
      </c>
      <c r="S9" s="147"/>
    </row>
    <row r="10" spans="2:19" ht="51" x14ac:dyDescent="0.2">
      <c r="B10" s="50" t="s">
        <v>507</v>
      </c>
      <c r="C10" s="51">
        <v>10000</v>
      </c>
      <c r="D10" s="55" t="s">
        <v>56</v>
      </c>
      <c r="E10" s="56">
        <v>20</v>
      </c>
      <c r="F10" s="54">
        <f t="shared" ref="F10" si="0">+MROUND(C10*E10,100)</f>
        <v>200000</v>
      </c>
      <c r="G10" s="58" t="s">
        <v>508</v>
      </c>
      <c r="S10" s="147"/>
    </row>
    <row r="11" spans="2:19" x14ac:dyDescent="0.2">
      <c r="B11" s="50" t="s">
        <v>11</v>
      </c>
      <c r="C11" s="51">
        <v>0</v>
      </c>
      <c r="D11" s="55"/>
      <c r="E11" s="56">
        <v>0</v>
      </c>
      <c r="F11" s="54">
        <f t="shared" ref="F11:F22" si="1">+MROUND(C11*E11,100)</f>
        <v>0</v>
      </c>
      <c r="G11" s="99" t="s">
        <v>11</v>
      </c>
      <c r="S11" s="147"/>
    </row>
    <row r="12" spans="2:19" x14ac:dyDescent="0.2">
      <c r="B12" s="50" t="s">
        <v>11</v>
      </c>
      <c r="C12" s="51">
        <v>0</v>
      </c>
      <c r="D12" s="55"/>
      <c r="E12" s="56">
        <v>0</v>
      </c>
      <c r="F12" s="54">
        <f t="shared" si="1"/>
        <v>0</v>
      </c>
      <c r="G12" s="99" t="s">
        <v>11</v>
      </c>
      <c r="S12" s="147"/>
    </row>
    <row r="13" spans="2:19" x14ac:dyDescent="0.2">
      <c r="B13" s="50" t="s">
        <v>11</v>
      </c>
      <c r="C13" s="51">
        <v>0</v>
      </c>
      <c r="D13" s="55"/>
      <c r="E13" s="56">
        <v>0</v>
      </c>
      <c r="F13" s="54">
        <f t="shared" si="1"/>
        <v>0</v>
      </c>
      <c r="G13" s="99" t="s">
        <v>11</v>
      </c>
      <c r="S13" s="147"/>
    </row>
    <row r="14" spans="2:19" x14ac:dyDescent="0.2">
      <c r="B14" s="50" t="s">
        <v>11</v>
      </c>
      <c r="C14" s="51">
        <v>0</v>
      </c>
      <c r="D14" s="55"/>
      <c r="E14" s="56">
        <v>0</v>
      </c>
      <c r="F14" s="54">
        <f t="shared" si="1"/>
        <v>0</v>
      </c>
      <c r="G14" s="99" t="s">
        <v>11</v>
      </c>
      <c r="S14" s="147"/>
    </row>
    <row r="15" spans="2:19" x14ac:dyDescent="0.2">
      <c r="B15" s="50" t="s">
        <v>11</v>
      </c>
      <c r="C15" s="51">
        <v>0</v>
      </c>
      <c r="D15" s="55"/>
      <c r="E15" s="56">
        <v>0</v>
      </c>
      <c r="F15" s="54">
        <f t="shared" si="1"/>
        <v>0</v>
      </c>
      <c r="G15" s="99" t="s">
        <v>11</v>
      </c>
      <c r="S15" s="147"/>
    </row>
    <row r="16" spans="2:19" x14ac:dyDescent="0.2">
      <c r="B16" s="50" t="s">
        <v>11</v>
      </c>
      <c r="C16" s="51">
        <v>0</v>
      </c>
      <c r="D16" s="55"/>
      <c r="E16" s="119">
        <v>0</v>
      </c>
      <c r="F16" s="54">
        <f t="shared" si="1"/>
        <v>0</v>
      </c>
      <c r="G16" s="99" t="s">
        <v>11</v>
      </c>
      <c r="S16" s="147"/>
    </row>
    <row r="17" spans="2:19" x14ac:dyDescent="0.2">
      <c r="B17" s="50" t="s">
        <v>11</v>
      </c>
      <c r="C17" s="51">
        <v>0</v>
      </c>
      <c r="D17" s="55"/>
      <c r="E17" s="56">
        <v>0</v>
      </c>
      <c r="F17" s="54">
        <f t="shared" si="1"/>
        <v>0</v>
      </c>
      <c r="G17" s="99" t="s">
        <v>11</v>
      </c>
      <c r="S17" s="147"/>
    </row>
    <row r="18" spans="2:19" x14ac:dyDescent="0.2">
      <c r="B18" s="50" t="s">
        <v>11</v>
      </c>
      <c r="C18" s="51">
        <v>0</v>
      </c>
      <c r="D18" s="55"/>
      <c r="E18" s="56">
        <v>0</v>
      </c>
      <c r="F18" s="54">
        <f t="shared" si="1"/>
        <v>0</v>
      </c>
      <c r="G18" s="99" t="s">
        <v>11</v>
      </c>
      <c r="S18" s="147"/>
    </row>
    <row r="19" spans="2:19" x14ac:dyDescent="0.2">
      <c r="B19" s="50" t="s">
        <v>11</v>
      </c>
      <c r="C19" s="51">
        <v>0</v>
      </c>
      <c r="D19" s="55"/>
      <c r="E19" s="56">
        <v>0</v>
      </c>
      <c r="F19" s="54">
        <f t="shared" si="1"/>
        <v>0</v>
      </c>
      <c r="G19" s="99" t="s">
        <v>11</v>
      </c>
      <c r="S19" s="147"/>
    </row>
    <row r="20" spans="2:19" x14ac:dyDescent="0.2">
      <c r="B20" s="50" t="s">
        <v>11</v>
      </c>
      <c r="C20" s="51">
        <v>0</v>
      </c>
      <c r="D20" s="55"/>
      <c r="E20" s="56">
        <v>0</v>
      </c>
      <c r="F20" s="54">
        <f t="shared" si="1"/>
        <v>0</v>
      </c>
      <c r="G20" s="99" t="s">
        <v>11</v>
      </c>
      <c r="S20" s="147"/>
    </row>
    <row r="21" spans="2:19" x14ac:dyDescent="0.2">
      <c r="B21" s="50" t="s">
        <v>11</v>
      </c>
      <c r="C21" s="51">
        <v>0</v>
      </c>
      <c r="D21" s="55"/>
      <c r="E21" s="56">
        <v>0</v>
      </c>
      <c r="F21" s="54">
        <f t="shared" si="1"/>
        <v>0</v>
      </c>
      <c r="G21" s="99" t="s">
        <v>11</v>
      </c>
      <c r="S21" s="147"/>
    </row>
    <row r="22" spans="2:19" x14ac:dyDescent="0.2">
      <c r="B22" s="50" t="s">
        <v>11</v>
      </c>
      <c r="C22" s="51">
        <v>0</v>
      </c>
      <c r="D22" s="55"/>
      <c r="E22" s="56">
        <v>0</v>
      </c>
      <c r="F22" s="54">
        <f t="shared" si="1"/>
        <v>0</v>
      </c>
      <c r="G22" s="99" t="s">
        <v>11</v>
      </c>
      <c r="S22" s="147"/>
    </row>
    <row r="23" spans="2:19" x14ac:dyDescent="0.2">
      <c r="B23" s="50" t="s">
        <v>11</v>
      </c>
      <c r="C23" s="51">
        <v>0</v>
      </c>
      <c r="D23" s="55"/>
      <c r="E23" s="56">
        <v>0</v>
      </c>
      <c r="F23" s="54">
        <f t="shared" ref="F23" si="2">+MROUND(C23*E23,1000)</f>
        <v>0</v>
      </c>
      <c r="G23" s="99" t="s">
        <v>11</v>
      </c>
      <c r="S23" s="147"/>
    </row>
    <row r="24" spans="2:19" x14ac:dyDescent="0.2">
      <c r="B24" s="72"/>
      <c r="C24" s="63"/>
      <c r="D24" s="90" t="s">
        <v>3</v>
      </c>
      <c r="E24" s="68"/>
      <c r="F24" s="93">
        <f>+SUM(F9:F23)</f>
        <v>210000</v>
      </c>
      <c r="G24" s="98"/>
    </row>
    <row r="25" spans="2:19" x14ac:dyDescent="0.2">
      <c r="B25" s="72"/>
      <c r="D25" s="91" t="str">
        <f>Assumptions!B10</f>
        <v>Overhead and Profit</v>
      </c>
      <c r="E25" s="95">
        <f>Assumptions!C10</f>
        <v>0.22</v>
      </c>
      <c r="F25" s="67">
        <f>+MROUND(F24*E25,100)</f>
        <v>46200</v>
      </c>
      <c r="G25" s="77"/>
    </row>
    <row r="26" spans="2:19" x14ac:dyDescent="0.2">
      <c r="B26" s="72"/>
      <c r="D26" s="91" t="s">
        <v>3</v>
      </c>
      <c r="E26" s="66"/>
      <c r="F26" s="92">
        <f>F25+F24</f>
        <v>256200</v>
      </c>
      <c r="G26" s="77"/>
    </row>
    <row r="27" spans="2:19" x14ac:dyDescent="0.2">
      <c r="B27" s="72"/>
      <c r="D27" s="91" t="str">
        <f>Assumptions!B11</f>
        <v>Contingency</v>
      </c>
      <c r="E27" s="96">
        <f>Assumptions!C11</f>
        <v>0.25</v>
      </c>
      <c r="F27" s="64">
        <f>+MROUND((F26)*E27,100)</f>
        <v>64100</v>
      </c>
      <c r="G27" s="77"/>
    </row>
    <row r="28" spans="2:19" x14ac:dyDescent="0.2">
      <c r="B28" s="72"/>
      <c r="D28" s="91" t="s">
        <v>36</v>
      </c>
      <c r="E28" s="96"/>
      <c r="F28" s="93">
        <f>SUM(F26:F27)</f>
        <v>320300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16000</v>
      </c>
      <c r="G30" s="77"/>
    </row>
    <row r="31" spans="2:19" x14ac:dyDescent="0.2">
      <c r="B31" s="72"/>
      <c r="D31" s="91" t="str">
        <f>Assumptions!B14</f>
        <v>Engineering - Planning/Consultation</v>
      </c>
      <c r="E31" s="96">
        <f>Assumptions!C14</f>
        <v>0.05</v>
      </c>
      <c r="F31" s="64">
        <f t="shared" ref="F31:F33" si="3">+MROUND($F$28*E31,100)</f>
        <v>16000</v>
      </c>
      <c r="G31" s="77"/>
    </row>
    <row r="32" spans="2:19" x14ac:dyDescent="0.2">
      <c r="B32" s="72"/>
      <c r="D32" s="91" t="str">
        <f>Assumptions!B15</f>
        <v>Engineering - Design</v>
      </c>
      <c r="E32" s="96">
        <f>Assumptions!C15</f>
        <v>0.1</v>
      </c>
      <c r="F32" s="64">
        <f t="shared" si="3"/>
        <v>32000</v>
      </c>
      <c r="G32" s="77"/>
    </row>
    <row r="33" spans="2:7" x14ac:dyDescent="0.2">
      <c r="B33" s="72"/>
      <c r="D33" s="91" t="str">
        <f>Assumptions!B16</f>
        <v>Engineering - Construction</v>
      </c>
      <c r="E33" s="96">
        <f>Assumptions!C16</f>
        <v>0.15</v>
      </c>
      <c r="F33" s="64">
        <f t="shared" si="3"/>
        <v>48000</v>
      </c>
      <c r="G33" s="77"/>
    </row>
    <row r="34" spans="2:7" x14ac:dyDescent="0.2">
      <c r="B34" s="32"/>
      <c r="C34" s="63"/>
      <c r="D34" s="94" t="s">
        <v>19</v>
      </c>
      <c r="E34" s="68"/>
      <c r="F34" s="124">
        <f>SUM(F28:F33)</f>
        <v>432300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Aquaculture/Shellfish Propagation - Site 1 - Shellfish Extension Program</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ht="51" x14ac:dyDescent="0.2">
      <c r="B45" s="50" t="s">
        <v>111</v>
      </c>
      <c r="C45" s="51">
        <v>2500000</v>
      </c>
      <c r="D45" s="55" t="s">
        <v>56</v>
      </c>
      <c r="E45" s="59">
        <v>0.1</v>
      </c>
      <c r="F45" s="54">
        <f t="shared" ref="F45" si="4">+MROUND(C45*E45,100)</f>
        <v>250000</v>
      </c>
      <c r="G45" s="58" t="s">
        <v>506</v>
      </c>
    </row>
    <row r="46" spans="2:7" x14ac:dyDescent="0.2">
      <c r="B46" s="50" t="s">
        <v>11</v>
      </c>
      <c r="C46" s="51">
        <v>0</v>
      </c>
      <c r="D46" s="55"/>
      <c r="E46" s="56">
        <v>0</v>
      </c>
      <c r="F46" s="54">
        <f t="shared" ref="F46:F54" si="5">+MROUND(C46*E46,100)</f>
        <v>0</v>
      </c>
      <c r="G46" s="99" t="s">
        <v>11</v>
      </c>
    </row>
    <row r="47" spans="2:7" x14ac:dyDescent="0.2">
      <c r="B47" s="50" t="s">
        <v>11</v>
      </c>
      <c r="C47" s="51">
        <v>0</v>
      </c>
      <c r="D47" s="55"/>
      <c r="E47" s="56">
        <v>0</v>
      </c>
      <c r="F47" s="54">
        <f t="shared" si="5"/>
        <v>0</v>
      </c>
      <c r="G47" s="99" t="s">
        <v>11</v>
      </c>
    </row>
    <row r="48" spans="2:7" x14ac:dyDescent="0.2">
      <c r="B48" s="50" t="s">
        <v>11</v>
      </c>
      <c r="C48" s="51">
        <v>0</v>
      </c>
      <c r="D48" s="55"/>
      <c r="E48" s="56">
        <v>0</v>
      </c>
      <c r="F48" s="54">
        <f t="shared" si="5"/>
        <v>0</v>
      </c>
      <c r="G48" s="99" t="s">
        <v>11</v>
      </c>
    </row>
    <row r="49" spans="2:7" x14ac:dyDescent="0.2">
      <c r="B49" s="50" t="s">
        <v>11</v>
      </c>
      <c r="C49" s="51">
        <v>0</v>
      </c>
      <c r="D49" s="55"/>
      <c r="E49" s="56">
        <v>0</v>
      </c>
      <c r="F49" s="54">
        <f t="shared" si="5"/>
        <v>0</v>
      </c>
      <c r="G49" s="99" t="s">
        <v>11</v>
      </c>
    </row>
    <row r="50" spans="2:7" x14ac:dyDescent="0.2">
      <c r="B50" s="50" t="s">
        <v>11</v>
      </c>
      <c r="C50" s="51">
        <v>0</v>
      </c>
      <c r="D50" s="55"/>
      <c r="E50" s="56">
        <v>0</v>
      </c>
      <c r="F50" s="54">
        <f t="shared" si="5"/>
        <v>0</v>
      </c>
      <c r="G50" s="99" t="s">
        <v>11</v>
      </c>
    </row>
    <row r="51" spans="2:7" x14ac:dyDescent="0.2">
      <c r="B51" s="50" t="s">
        <v>11</v>
      </c>
      <c r="C51" s="51">
        <v>0</v>
      </c>
      <c r="D51" s="55"/>
      <c r="E51" s="56">
        <v>0</v>
      </c>
      <c r="F51" s="54">
        <f t="shared" si="5"/>
        <v>0</v>
      </c>
      <c r="G51" s="99" t="s">
        <v>11</v>
      </c>
    </row>
    <row r="52" spans="2:7" x14ac:dyDescent="0.2">
      <c r="B52" s="50" t="s">
        <v>11</v>
      </c>
      <c r="C52" s="51">
        <v>0</v>
      </c>
      <c r="D52" s="55"/>
      <c r="E52" s="56">
        <v>0</v>
      </c>
      <c r="F52" s="54">
        <f t="shared" si="5"/>
        <v>0</v>
      </c>
      <c r="G52" s="99" t="s">
        <v>11</v>
      </c>
    </row>
    <row r="53" spans="2:7" x14ac:dyDescent="0.2">
      <c r="B53" s="50" t="s">
        <v>11</v>
      </c>
      <c r="C53" s="51">
        <v>0</v>
      </c>
      <c r="D53" s="55"/>
      <c r="E53" s="56">
        <v>0</v>
      </c>
      <c r="F53" s="54">
        <f t="shared" si="5"/>
        <v>0</v>
      </c>
      <c r="G53" s="99" t="s">
        <v>11</v>
      </c>
    </row>
    <row r="54" spans="2:7" x14ac:dyDescent="0.2">
      <c r="B54" s="50" t="s">
        <v>11</v>
      </c>
      <c r="C54" s="51">
        <v>0</v>
      </c>
      <c r="D54" s="55"/>
      <c r="E54" s="56">
        <v>0</v>
      </c>
      <c r="F54" s="54">
        <f t="shared" si="5"/>
        <v>0</v>
      </c>
      <c r="G54" s="99" t="s">
        <v>11</v>
      </c>
    </row>
    <row r="55" spans="2:7" x14ac:dyDescent="0.2">
      <c r="B55" s="72"/>
      <c r="C55" s="63"/>
      <c r="D55" s="90" t="s">
        <v>3</v>
      </c>
      <c r="E55" s="68"/>
      <c r="F55" s="93">
        <f>SUM(F45:F54)</f>
        <v>250000</v>
      </c>
      <c r="G55" s="98"/>
    </row>
    <row r="56" spans="2:7" x14ac:dyDescent="0.2">
      <c r="B56" s="72"/>
      <c r="D56" s="91" t="str">
        <f>Assumptions!B21</f>
        <v>Contingency</v>
      </c>
      <c r="E56" s="95">
        <f>Assumptions!C21</f>
        <v>0.1</v>
      </c>
      <c r="F56" s="64">
        <f>+MROUND((F55)*E56,100)</f>
        <v>25000</v>
      </c>
      <c r="G56" s="77"/>
    </row>
    <row r="57" spans="2:7" x14ac:dyDescent="0.2">
      <c r="B57" s="72"/>
      <c r="D57" s="91" t="s">
        <v>3</v>
      </c>
      <c r="E57" s="66"/>
      <c r="F57" s="93">
        <f>SUM(F55:F56)</f>
        <v>275000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8300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283300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Aquaculture/Shellfish Propagation - Site 1 - Shellfish Extension Program</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10000</v>
      </c>
      <c r="F74" s="111">
        <f>+MROUND(C74*E74,100)</f>
        <v>10000</v>
      </c>
      <c r="G74" s="112" t="str">
        <f>CONCATENATE(Assumptions!C33*100,"%"," ","of Other Items")</f>
        <v>5% of Other Items</v>
      </c>
    </row>
    <row r="75" spans="2:7" x14ac:dyDescent="0.2">
      <c r="B75" s="539" t="s">
        <v>505</v>
      </c>
      <c r="C75" s="540">
        <v>10000</v>
      </c>
      <c r="D75" s="543" t="s">
        <v>56</v>
      </c>
      <c r="E75" s="541">
        <v>20</v>
      </c>
      <c r="F75" s="537">
        <v>200000</v>
      </c>
      <c r="G75" s="99" t="s">
        <v>11</v>
      </c>
    </row>
    <row r="76" spans="2:7" x14ac:dyDescent="0.2">
      <c r="B76" s="50" t="s">
        <v>11</v>
      </c>
      <c r="C76" s="51">
        <v>0</v>
      </c>
      <c r="D76" s="55"/>
      <c r="E76" s="56">
        <v>0</v>
      </c>
      <c r="F76" s="54">
        <f t="shared" ref="F76:F83" si="6">+MROUND(C76*E76,100)</f>
        <v>0</v>
      </c>
      <c r="G76" s="99" t="s">
        <v>11</v>
      </c>
    </row>
    <row r="77" spans="2:7" x14ac:dyDescent="0.2">
      <c r="B77" s="50" t="s">
        <v>11</v>
      </c>
      <c r="C77" s="51">
        <v>0</v>
      </c>
      <c r="D77" s="55"/>
      <c r="E77" s="56">
        <v>0</v>
      </c>
      <c r="F77" s="54">
        <f t="shared" si="6"/>
        <v>0</v>
      </c>
      <c r="G77" s="99" t="s">
        <v>11</v>
      </c>
    </row>
    <row r="78" spans="2:7" x14ac:dyDescent="0.2">
      <c r="B78" s="50" t="s">
        <v>11</v>
      </c>
      <c r="C78" s="51">
        <v>0</v>
      </c>
      <c r="D78" s="55"/>
      <c r="E78" s="56">
        <v>0</v>
      </c>
      <c r="F78" s="54">
        <f t="shared" si="6"/>
        <v>0</v>
      </c>
      <c r="G78" s="99" t="s">
        <v>11</v>
      </c>
    </row>
    <row r="79" spans="2:7" x14ac:dyDescent="0.2">
      <c r="B79" s="50" t="s">
        <v>11</v>
      </c>
      <c r="C79" s="51">
        <v>0</v>
      </c>
      <c r="D79" s="55"/>
      <c r="E79" s="56">
        <v>0</v>
      </c>
      <c r="F79" s="54">
        <f t="shared" si="6"/>
        <v>0</v>
      </c>
      <c r="G79" s="99" t="s">
        <v>11</v>
      </c>
    </row>
    <row r="80" spans="2:7" x14ac:dyDescent="0.2">
      <c r="B80" s="50" t="s">
        <v>11</v>
      </c>
      <c r="C80" s="51">
        <v>0</v>
      </c>
      <c r="D80" s="55"/>
      <c r="E80" s="56">
        <v>0</v>
      </c>
      <c r="F80" s="54">
        <f t="shared" si="6"/>
        <v>0</v>
      </c>
      <c r="G80" s="99" t="s">
        <v>11</v>
      </c>
    </row>
    <row r="81" spans="2:7" x14ac:dyDescent="0.2">
      <c r="B81" s="50" t="s">
        <v>11</v>
      </c>
      <c r="C81" s="51">
        <v>0</v>
      </c>
      <c r="D81" s="55"/>
      <c r="E81" s="56">
        <v>0</v>
      </c>
      <c r="F81" s="54">
        <f t="shared" si="6"/>
        <v>0</v>
      </c>
      <c r="G81" s="99" t="s">
        <v>11</v>
      </c>
    </row>
    <row r="82" spans="2:7" x14ac:dyDescent="0.2">
      <c r="B82" s="50" t="s">
        <v>11</v>
      </c>
      <c r="C82" s="51">
        <v>0</v>
      </c>
      <c r="D82" s="55"/>
      <c r="E82" s="56">
        <v>0</v>
      </c>
      <c r="F82" s="54">
        <f t="shared" si="6"/>
        <v>0</v>
      </c>
      <c r="G82" s="99" t="s">
        <v>11</v>
      </c>
    </row>
    <row r="83" spans="2:7" x14ac:dyDescent="0.2">
      <c r="B83" s="50" t="s">
        <v>11</v>
      </c>
      <c r="C83" s="51">
        <v>0</v>
      </c>
      <c r="D83" s="55"/>
      <c r="E83" s="56">
        <v>0</v>
      </c>
      <c r="F83" s="54">
        <f t="shared" si="6"/>
        <v>0</v>
      </c>
      <c r="G83" s="99" t="s">
        <v>11</v>
      </c>
    </row>
    <row r="84" spans="2:7" x14ac:dyDescent="0.2">
      <c r="B84" s="72"/>
      <c r="C84" s="63"/>
      <c r="D84" s="90" t="s">
        <v>3</v>
      </c>
      <c r="E84" s="68"/>
      <c r="F84" s="93">
        <f>SUM(F74:F83)</f>
        <v>210000</v>
      </c>
      <c r="G84" s="98"/>
    </row>
    <row r="85" spans="2:7" x14ac:dyDescent="0.2">
      <c r="B85" s="72"/>
      <c r="D85" s="91" t="str">
        <f>Assumptions!B34</f>
        <v>Overhead and Profit</v>
      </c>
      <c r="E85" s="95">
        <f>Assumptions!C34</f>
        <v>0.22</v>
      </c>
      <c r="F85" s="67">
        <f>+MROUND(F84*E85,100)</f>
        <v>46200</v>
      </c>
      <c r="G85" s="77"/>
    </row>
    <row r="86" spans="2:7" x14ac:dyDescent="0.2">
      <c r="B86" s="72"/>
      <c r="D86" s="91" t="s">
        <v>3</v>
      </c>
      <c r="E86" s="66"/>
      <c r="F86" s="92">
        <f>F85+F84</f>
        <v>256200</v>
      </c>
      <c r="G86" s="77"/>
    </row>
    <row r="87" spans="2:7" x14ac:dyDescent="0.2">
      <c r="B87" s="72"/>
      <c r="D87" s="91" t="str">
        <f>Assumptions!B35</f>
        <v>Contingency</v>
      </c>
      <c r="E87" s="96">
        <f>Assumptions!C35</f>
        <v>0.3</v>
      </c>
      <c r="F87" s="64">
        <f>+MROUND((F86)*E87,100)</f>
        <v>76900</v>
      </c>
      <c r="G87" s="77"/>
    </row>
    <row r="88" spans="2:7" x14ac:dyDescent="0.2">
      <c r="B88" s="72"/>
      <c r="D88" s="91" t="s">
        <v>36</v>
      </c>
      <c r="E88" s="66"/>
      <c r="F88" s="93">
        <f>SUM(F86:F87)</f>
        <v>333100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10000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33300</v>
      </c>
      <c r="G92" s="77"/>
    </row>
    <row r="93" spans="2:7" x14ac:dyDescent="0.2">
      <c r="B93" s="72"/>
      <c r="D93" s="91" t="str">
        <f>Assumptions!B40</f>
        <v>Engineering - Construction</v>
      </c>
      <c r="E93" s="96">
        <f>Assumptions!C40</f>
        <v>0.15</v>
      </c>
      <c r="F93" s="64">
        <f>+MROUND($F$88*E93,100)</f>
        <v>50000</v>
      </c>
      <c r="G93" s="77"/>
    </row>
    <row r="94" spans="2:7" x14ac:dyDescent="0.2">
      <c r="B94" s="32"/>
      <c r="C94" s="63"/>
      <c r="D94" s="94" t="s">
        <v>58</v>
      </c>
      <c r="E94" s="68"/>
      <c r="F94" s="124">
        <f>SUM(F88:F93)</f>
        <v>426400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Aquaculture/Shellfish Propagation - Site 1 - Shellfish Extension Program</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39" t="s">
        <v>106</v>
      </c>
      <c r="C105" s="540">
        <v>160</v>
      </c>
      <c r="D105" s="543" t="s">
        <v>56</v>
      </c>
      <c r="E105" s="541">
        <v>100</v>
      </c>
      <c r="F105" s="54">
        <f t="shared" ref="F105:F110" si="7">+MROUND(C105*E105,100)</f>
        <v>16000</v>
      </c>
      <c r="G105" s="542" t="s">
        <v>503</v>
      </c>
    </row>
    <row r="106" spans="2:7" x14ac:dyDescent="0.2">
      <c r="B106" s="539" t="s">
        <v>102</v>
      </c>
      <c r="C106" s="540">
        <v>16</v>
      </c>
      <c r="D106" s="543" t="s">
        <v>56</v>
      </c>
      <c r="E106" s="541">
        <v>100</v>
      </c>
      <c r="F106" s="54">
        <f t="shared" si="7"/>
        <v>1600</v>
      </c>
      <c r="G106" s="542" t="s">
        <v>11</v>
      </c>
    </row>
    <row r="107" spans="2:7" x14ac:dyDescent="0.2">
      <c r="B107" s="539" t="s">
        <v>103</v>
      </c>
      <c r="C107" s="540">
        <v>2</v>
      </c>
      <c r="D107" s="543" t="s">
        <v>56</v>
      </c>
      <c r="E107" s="541">
        <v>4000</v>
      </c>
      <c r="F107" s="54">
        <f t="shared" si="7"/>
        <v>8000</v>
      </c>
      <c r="G107" s="542" t="s">
        <v>112</v>
      </c>
    </row>
    <row r="108" spans="2:7" x14ac:dyDescent="0.2">
      <c r="B108" s="539" t="s">
        <v>104</v>
      </c>
      <c r="C108" s="540">
        <v>1</v>
      </c>
      <c r="D108" s="543" t="s">
        <v>56</v>
      </c>
      <c r="E108" s="541">
        <v>9000</v>
      </c>
      <c r="F108" s="54">
        <f t="shared" si="7"/>
        <v>9000</v>
      </c>
      <c r="G108" s="542" t="s">
        <v>11</v>
      </c>
    </row>
    <row r="109" spans="2:7" x14ac:dyDescent="0.2">
      <c r="B109" s="539" t="s">
        <v>105</v>
      </c>
      <c r="C109" s="540">
        <v>1</v>
      </c>
      <c r="D109" s="543" t="s">
        <v>56</v>
      </c>
      <c r="E109" s="541">
        <v>15000</v>
      </c>
      <c r="F109" s="54">
        <f t="shared" si="7"/>
        <v>15000</v>
      </c>
      <c r="G109" s="542" t="s">
        <v>11</v>
      </c>
    </row>
    <row r="110" spans="2:7" x14ac:dyDescent="0.2">
      <c r="B110" s="539" t="s">
        <v>11</v>
      </c>
      <c r="C110" s="540">
        <v>0</v>
      </c>
      <c r="D110" s="543" t="s">
        <v>11</v>
      </c>
      <c r="E110" s="541">
        <v>0</v>
      </c>
      <c r="F110" s="54">
        <f t="shared" si="7"/>
        <v>0</v>
      </c>
      <c r="G110" s="542" t="s">
        <v>11</v>
      </c>
    </row>
    <row r="111" spans="2:7" x14ac:dyDescent="0.2">
      <c r="B111" s="50" t="s">
        <v>11</v>
      </c>
      <c r="C111" s="51">
        <v>0</v>
      </c>
      <c r="D111" s="55"/>
      <c r="E111" s="56">
        <v>0</v>
      </c>
      <c r="F111" s="54">
        <f t="shared" ref="F111:F114" si="8">+MROUND(C111*E111,100)</f>
        <v>0</v>
      </c>
      <c r="G111" s="99" t="s">
        <v>11</v>
      </c>
    </row>
    <row r="112" spans="2:7" x14ac:dyDescent="0.2">
      <c r="B112" s="50" t="s">
        <v>11</v>
      </c>
      <c r="C112" s="51">
        <v>0</v>
      </c>
      <c r="D112" s="55"/>
      <c r="E112" s="56">
        <v>0</v>
      </c>
      <c r="F112" s="54">
        <f t="shared" si="8"/>
        <v>0</v>
      </c>
      <c r="G112" s="99" t="s">
        <v>11</v>
      </c>
    </row>
    <row r="113" spans="2:7" x14ac:dyDescent="0.2">
      <c r="B113" s="50" t="s">
        <v>11</v>
      </c>
      <c r="C113" s="51">
        <v>0</v>
      </c>
      <c r="D113" s="55"/>
      <c r="E113" s="56">
        <v>0</v>
      </c>
      <c r="F113" s="54">
        <f t="shared" si="8"/>
        <v>0</v>
      </c>
      <c r="G113" s="99" t="s">
        <v>11</v>
      </c>
    </row>
    <row r="114" spans="2:7" x14ac:dyDescent="0.2">
      <c r="B114" s="50" t="s">
        <v>11</v>
      </c>
      <c r="C114" s="51">
        <v>0</v>
      </c>
      <c r="D114" s="55"/>
      <c r="E114" s="56">
        <v>0</v>
      </c>
      <c r="F114" s="54">
        <f t="shared" si="8"/>
        <v>0</v>
      </c>
      <c r="G114" s="99" t="s">
        <v>11</v>
      </c>
    </row>
    <row r="115" spans="2:7" x14ac:dyDescent="0.2">
      <c r="B115" s="72"/>
      <c r="C115" s="63"/>
      <c r="D115" s="90" t="s">
        <v>3</v>
      </c>
      <c r="E115" s="68"/>
      <c r="F115" s="93">
        <f>SUM(F105:F114)</f>
        <v>49600</v>
      </c>
      <c r="G115" s="98"/>
    </row>
    <row r="116" spans="2:7" x14ac:dyDescent="0.2">
      <c r="B116" s="72"/>
      <c r="D116" s="91" t="str">
        <f>Assumptions!B45</f>
        <v>Contingency</v>
      </c>
      <c r="E116" s="95">
        <f>Assumptions!C45</f>
        <v>0.1</v>
      </c>
      <c r="F116" s="64">
        <f>+MROUND((F115)*E116,100)</f>
        <v>5000</v>
      </c>
      <c r="G116" s="77"/>
    </row>
    <row r="117" spans="2:7" x14ac:dyDescent="0.2">
      <c r="B117" s="72"/>
      <c r="D117" s="91" t="s">
        <v>3</v>
      </c>
      <c r="E117" s="66"/>
      <c r="F117" s="93">
        <f>SUM(F115:F116)</f>
        <v>54600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2700</v>
      </c>
      <c r="G119" s="77"/>
    </row>
    <row r="120" spans="2:7" x14ac:dyDescent="0.2">
      <c r="B120" s="72"/>
      <c r="D120" s="91" t="str">
        <f>Assumptions!B48</f>
        <v>Engineering - Planning/Consultation</v>
      </c>
      <c r="E120" s="96">
        <f>Assumptions!C48</f>
        <v>0.03</v>
      </c>
      <c r="F120" s="64">
        <f>+MROUND($F$117*E120,100)</f>
        <v>1600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58900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D10:D23 D45:D54 D75:D83 D105:D114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S140"/>
  <sheetViews>
    <sheetView zoomScaleNormal="100" zoomScaleSheetLayoutView="75" workbookViewId="0">
      <selection activeCell="B5" sqref="B5"/>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520</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17500</v>
      </c>
      <c r="F9" s="64">
        <f>+MROUND(C9*E9,100)</f>
        <v>17500</v>
      </c>
      <c r="G9" s="77" t="str">
        <f>CONCATENATE(Assumptions!C9*100,"%"," ","of Other Items")</f>
        <v>5% of Other Items</v>
      </c>
      <c r="S9" s="147"/>
    </row>
    <row r="10" spans="2:19" x14ac:dyDescent="0.2">
      <c r="B10" s="50" t="s">
        <v>33</v>
      </c>
      <c r="C10" s="51">
        <v>1</v>
      </c>
      <c r="D10" s="55" t="s">
        <v>31</v>
      </c>
      <c r="E10" s="56">
        <v>350000</v>
      </c>
      <c r="F10" s="54">
        <f t="shared" ref="F10:F22" si="0">+MROUND(C10*E10,100)</f>
        <v>350000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367500</v>
      </c>
      <c r="G24" s="98"/>
    </row>
    <row r="25" spans="2:19" x14ac:dyDescent="0.2">
      <c r="B25" s="72"/>
      <c r="D25" s="91" t="str">
        <f>Assumptions!B10</f>
        <v>Overhead and Profit</v>
      </c>
      <c r="E25" s="95">
        <f>Assumptions!C10</f>
        <v>0.22</v>
      </c>
      <c r="F25" s="67">
        <f>+MROUND(F24*E25,100)</f>
        <v>80900</v>
      </c>
      <c r="G25" s="77"/>
    </row>
    <row r="26" spans="2:19" x14ac:dyDescent="0.2">
      <c r="B26" s="72"/>
      <c r="D26" s="91" t="s">
        <v>3</v>
      </c>
      <c r="E26" s="66"/>
      <c r="F26" s="92">
        <f>F25+F24</f>
        <v>448400</v>
      </c>
      <c r="G26" s="77"/>
    </row>
    <row r="27" spans="2:19" x14ac:dyDescent="0.2">
      <c r="B27" s="72"/>
      <c r="D27" s="91" t="str">
        <f>Assumptions!B11</f>
        <v>Contingency</v>
      </c>
      <c r="E27" s="96">
        <f>Assumptions!C11</f>
        <v>0.25</v>
      </c>
      <c r="F27" s="64">
        <f>+MROUND((F26)*E27,100)</f>
        <v>112100</v>
      </c>
      <c r="G27" s="77"/>
    </row>
    <row r="28" spans="2:19" x14ac:dyDescent="0.2">
      <c r="B28" s="72"/>
      <c r="D28" s="91" t="s">
        <v>36</v>
      </c>
      <c r="E28" s="96"/>
      <c r="F28" s="93">
        <f>SUM(F26:F27)</f>
        <v>560500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28000</v>
      </c>
      <c r="G30" s="77"/>
    </row>
    <row r="31" spans="2:19" x14ac:dyDescent="0.2">
      <c r="B31" s="72"/>
      <c r="D31" s="91" t="str">
        <f>Assumptions!B14</f>
        <v>Engineering - Planning/Consultation</v>
      </c>
      <c r="E31" s="96">
        <f>Assumptions!C14</f>
        <v>0.05</v>
      </c>
      <c r="F31" s="64">
        <f t="shared" ref="F31:F33" si="2">+MROUND($F$28*E31,100)</f>
        <v>28000</v>
      </c>
      <c r="G31" s="77"/>
    </row>
    <row r="32" spans="2:19" x14ac:dyDescent="0.2">
      <c r="B32" s="72"/>
      <c r="D32" s="91" t="str">
        <f>Assumptions!B15</f>
        <v>Engineering - Design</v>
      </c>
      <c r="E32" s="96">
        <f>Assumptions!C15</f>
        <v>0.1</v>
      </c>
      <c r="F32" s="64">
        <f t="shared" si="2"/>
        <v>56100</v>
      </c>
      <c r="G32" s="77"/>
    </row>
    <row r="33" spans="2:7" x14ac:dyDescent="0.2">
      <c r="B33" s="72"/>
      <c r="D33" s="91" t="str">
        <f>Assumptions!B16</f>
        <v>Engineering - Construction</v>
      </c>
      <c r="E33" s="96">
        <f>Assumptions!C16</f>
        <v>0.15</v>
      </c>
      <c r="F33" s="64">
        <f t="shared" si="2"/>
        <v>84100</v>
      </c>
      <c r="G33" s="77"/>
    </row>
    <row r="34" spans="2:7" x14ac:dyDescent="0.2">
      <c r="B34" s="32"/>
      <c r="C34" s="63"/>
      <c r="D34" s="94" t="s">
        <v>19</v>
      </c>
      <c r="E34" s="68"/>
      <c r="F34" s="124">
        <f>SUM(F28:F33)</f>
        <v>756700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Aquaculture/Shellfish Propagation - Demonstration 2 - Quanset Pond Oyster Bed (2nd Year)</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Aquaculture/Shellfish Propagation - Demonstration 2 - Quanset Pond Oyster Bed (2nd Year)</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519</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Aquaculture/Shellfish Propagation - Demonstration 2 - Quanset Pond Oyster Bed (2nd Year)</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33</v>
      </c>
      <c r="C105" s="51">
        <v>1</v>
      </c>
      <c r="D105" s="55" t="s">
        <v>31</v>
      </c>
      <c r="E105" s="56">
        <v>50000</v>
      </c>
      <c r="F105" s="54">
        <f>+MROUND(C105*E105,100)</f>
        <v>50000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50000</v>
      </c>
      <c r="G115" s="98"/>
    </row>
    <row r="116" spans="2:7" x14ac:dyDescent="0.2">
      <c r="B116" s="72"/>
      <c r="D116" s="91" t="str">
        <f>Assumptions!B45</f>
        <v>Contingency</v>
      </c>
      <c r="E116" s="95">
        <f>Assumptions!C45</f>
        <v>0.1</v>
      </c>
      <c r="F116" s="64">
        <f>+MROUND((F115)*E116,100)</f>
        <v>5000</v>
      </c>
      <c r="G116" s="77"/>
    </row>
    <row r="117" spans="2:7" x14ac:dyDescent="0.2">
      <c r="B117" s="72"/>
      <c r="D117" s="91" t="s">
        <v>3</v>
      </c>
      <c r="E117" s="66"/>
      <c r="F117" s="93">
        <f>SUM(F115:F116)</f>
        <v>55000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2800</v>
      </c>
      <c r="G119" s="77"/>
    </row>
    <row r="120" spans="2:7" x14ac:dyDescent="0.2">
      <c r="B120" s="72"/>
      <c r="D120" s="91" t="str">
        <f>Assumptions!B48</f>
        <v>Engineering - Planning/Consultation</v>
      </c>
      <c r="E120" s="96">
        <f>Assumptions!C48</f>
        <v>0.03</v>
      </c>
      <c r="F120" s="64">
        <f>+MROUND($F$117*E120,100)</f>
        <v>1700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59500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D75:D83 D105:D114 D10:D23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N38"/>
  <sheetViews>
    <sheetView zoomScale="80" zoomScaleNormal="80" zoomScaleSheetLayoutView="100" workbookViewId="0">
      <pane xSplit="3" ySplit="7" topLeftCell="AD8" activePane="bottomRight" state="frozen"/>
      <selection pane="topRight" activeCell="D1" sqref="D1"/>
      <selection pane="bottomLeft" activeCell="A9" sqref="A9"/>
      <selection pane="bottomRight" activeCell="B8" sqref="B8"/>
    </sheetView>
  </sheetViews>
  <sheetFormatPr defaultRowHeight="12.75" x14ac:dyDescent="0.2"/>
  <cols>
    <col min="1" max="1" width="2.7109375" style="60" customWidth="1"/>
    <col min="2" max="2" width="6.85546875" style="60" customWidth="1"/>
    <col min="3" max="3" width="46.5703125" style="60" bestFit="1" customWidth="1"/>
    <col min="4" max="4" width="8.7109375" style="60" hidden="1" customWidth="1"/>
    <col min="5" max="7" width="15.7109375" style="60" hidden="1" customWidth="1"/>
    <col min="8" max="8" width="50.7109375" style="60" hidden="1" customWidth="1"/>
    <col min="9" max="9" width="8.7109375" style="60" hidden="1" customWidth="1"/>
    <col min="10" max="12" width="15.7109375" style="60" hidden="1" customWidth="1"/>
    <col min="13" max="13" width="30.7109375" style="60" hidden="1" customWidth="1"/>
    <col min="14" max="14" width="8.7109375" style="60" customWidth="1"/>
    <col min="15" max="17" width="15.7109375" style="60" customWidth="1"/>
    <col min="18" max="18" width="30.7109375" style="60" customWidth="1"/>
    <col min="19" max="19" width="8.7109375" style="60" customWidth="1"/>
    <col min="20" max="22" width="15.7109375" style="60" customWidth="1"/>
    <col min="23" max="23" width="30.7109375" style="60" customWidth="1"/>
    <col min="24" max="24" width="8.7109375" style="60" customWidth="1"/>
    <col min="25" max="27" width="15.7109375" style="60" customWidth="1"/>
    <col min="28" max="28" width="30.7109375" style="60" customWidth="1"/>
    <col min="29" max="29" width="8.7109375" style="60" customWidth="1"/>
    <col min="30" max="32" width="15.7109375" style="60" customWidth="1"/>
    <col min="33" max="33" width="30.7109375" style="60" customWidth="1"/>
    <col min="34" max="34" width="8.7109375" style="60" customWidth="1"/>
    <col min="35" max="37" width="15.7109375" style="60" customWidth="1"/>
    <col min="38" max="38" width="30.7109375" style="60" customWidth="1"/>
    <col min="39" max="39" width="16.7109375" style="60" customWidth="1"/>
    <col min="40" max="40" width="2.7109375" style="60" customWidth="1"/>
    <col min="41" max="16384" width="9.140625" style="60"/>
  </cols>
  <sheetData>
    <row r="1" spans="2:40" x14ac:dyDescent="0.2">
      <c r="AE1" s="439"/>
    </row>
    <row r="2" spans="2:40" x14ac:dyDescent="0.2">
      <c r="B2" s="651" t="s">
        <v>7</v>
      </c>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row>
    <row r="3" spans="2:40" x14ac:dyDescent="0.2">
      <c r="B3" s="652" t="s">
        <v>541</v>
      </c>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238"/>
    </row>
    <row r="4" spans="2:40" x14ac:dyDescent="0.2">
      <c r="B4" s="652" t="s">
        <v>310</v>
      </c>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c r="AK4" s="652"/>
      <c r="AL4" s="652"/>
      <c r="AM4" s="652"/>
      <c r="AN4" s="238"/>
    </row>
    <row r="5" spans="2:40" ht="13.5" thickBot="1" x14ac:dyDescent="0.25">
      <c r="B5" s="239"/>
      <c r="C5" s="240"/>
      <c r="D5" s="235"/>
      <c r="E5" s="241"/>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1"/>
      <c r="AN5" s="236"/>
    </row>
    <row r="6" spans="2:40" ht="16.5" customHeight="1" thickTop="1" thickBot="1" x14ac:dyDescent="0.25">
      <c r="B6" s="670" t="s">
        <v>317</v>
      </c>
      <c r="C6" s="670" t="s">
        <v>318</v>
      </c>
      <c r="D6" s="653" t="s">
        <v>311</v>
      </c>
      <c r="E6" s="654"/>
      <c r="F6" s="654"/>
      <c r="G6" s="654"/>
      <c r="H6" s="655"/>
      <c r="I6" s="672" t="s">
        <v>312</v>
      </c>
      <c r="J6" s="673"/>
      <c r="K6" s="673"/>
      <c r="L6" s="673"/>
      <c r="M6" s="674"/>
      <c r="N6" s="656" t="s">
        <v>313</v>
      </c>
      <c r="O6" s="657"/>
      <c r="P6" s="657"/>
      <c r="Q6" s="657"/>
      <c r="R6" s="658"/>
      <c r="S6" s="659" t="s">
        <v>314</v>
      </c>
      <c r="T6" s="660"/>
      <c r="U6" s="660"/>
      <c r="V6" s="660"/>
      <c r="W6" s="661"/>
      <c r="X6" s="662" t="s">
        <v>315</v>
      </c>
      <c r="Y6" s="663"/>
      <c r="Z6" s="663"/>
      <c r="AA6" s="663"/>
      <c r="AB6" s="664"/>
      <c r="AC6" s="665" t="s">
        <v>316</v>
      </c>
      <c r="AD6" s="666"/>
      <c r="AE6" s="666"/>
      <c r="AF6" s="666"/>
      <c r="AG6" s="667"/>
      <c r="AH6" s="675" t="s">
        <v>416</v>
      </c>
      <c r="AI6" s="676"/>
      <c r="AJ6" s="676"/>
      <c r="AK6" s="676"/>
      <c r="AL6" s="677"/>
      <c r="AM6" s="668" t="s">
        <v>417</v>
      </c>
    </row>
    <row r="7" spans="2:40" s="237" customFormat="1" ht="39.75" customHeight="1" thickTop="1" thickBot="1" x14ac:dyDescent="0.25">
      <c r="B7" s="671"/>
      <c r="C7" s="671"/>
      <c r="D7" s="403" t="s">
        <v>48</v>
      </c>
      <c r="E7" s="243" t="s">
        <v>322</v>
      </c>
      <c r="F7" s="244" t="s">
        <v>319</v>
      </c>
      <c r="G7" s="244" t="s">
        <v>320</v>
      </c>
      <c r="H7" s="409" t="s">
        <v>321</v>
      </c>
      <c r="I7" s="245" t="s">
        <v>48</v>
      </c>
      <c r="J7" s="246" t="s">
        <v>322</v>
      </c>
      <c r="K7" s="247" t="s">
        <v>415</v>
      </c>
      <c r="L7" s="247" t="s">
        <v>320</v>
      </c>
      <c r="M7" s="248" t="s">
        <v>321</v>
      </c>
      <c r="N7" s="249" t="s">
        <v>48</v>
      </c>
      <c r="O7" s="250" t="s">
        <v>322</v>
      </c>
      <c r="P7" s="251" t="s">
        <v>415</v>
      </c>
      <c r="Q7" s="251" t="s">
        <v>320</v>
      </c>
      <c r="R7" s="252" t="s">
        <v>321</v>
      </c>
      <c r="S7" s="253" t="s">
        <v>48</v>
      </c>
      <c r="T7" s="254" t="s">
        <v>322</v>
      </c>
      <c r="U7" s="255" t="s">
        <v>415</v>
      </c>
      <c r="V7" s="255" t="s">
        <v>320</v>
      </c>
      <c r="W7" s="256" t="s">
        <v>321</v>
      </c>
      <c r="X7" s="257" t="s">
        <v>48</v>
      </c>
      <c r="Y7" s="258" t="s">
        <v>322</v>
      </c>
      <c r="Z7" s="259" t="s">
        <v>415</v>
      </c>
      <c r="AA7" s="259" t="s">
        <v>320</v>
      </c>
      <c r="AB7" s="260" t="s">
        <v>321</v>
      </c>
      <c r="AC7" s="261" t="s">
        <v>48</v>
      </c>
      <c r="AD7" s="262" t="s">
        <v>322</v>
      </c>
      <c r="AE7" s="263" t="s">
        <v>415</v>
      </c>
      <c r="AF7" s="263" t="s">
        <v>320</v>
      </c>
      <c r="AG7" s="264" t="s">
        <v>321</v>
      </c>
      <c r="AH7" s="417" t="s">
        <v>48</v>
      </c>
      <c r="AI7" s="418" t="s">
        <v>322</v>
      </c>
      <c r="AJ7" s="419" t="s">
        <v>415</v>
      </c>
      <c r="AK7" s="419" t="s">
        <v>320</v>
      </c>
      <c r="AL7" s="420" t="s">
        <v>321</v>
      </c>
      <c r="AM7" s="669"/>
    </row>
    <row r="8" spans="2:40" ht="13.5" thickTop="1" x14ac:dyDescent="0.2">
      <c r="B8" s="265">
        <v>1</v>
      </c>
      <c r="C8" s="266" t="s">
        <v>323</v>
      </c>
      <c r="D8" s="267"/>
      <c r="E8" s="268"/>
      <c r="F8" s="269"/>
      <c r="G8" s="269"/>
      <c r="H8" s="410"/>
      <c r="I8" s="270"/>
      <c r="J8" s="271"/>
      <c r="K8" s="272"/>
      <c r="L8" s="272"/>
      <c r="M8" s="273"/>
      <c r="N8" s="274"/>
      <c r="O8" s="275"/>
      <c r="P8" s="276"/>
      <c r="Q8" s="276"/>
      <c r="R8" s="277"/>
      <c r="S8" s="278"/>
      <c r="T8" s="279"/>
      <c r="U8" s="280"/>
      <c r="V8" s="280"/>
      <c r="W8" s="281"/>
      <c r="X8" s="282"/>
      <c r="Y8" s="283"/>
      <c r="Z8" s="284"/>
      <c r="AA8" s="284"/>
      <c r="AB8" s="285"/>
      <c r="AC8" s="286"/>
      <c r="AD8" s="287"/>
      <c r="AE8" s="288"/>
      <c r="AF8" s="288"/>
      <c r="AG8" s="289"/>
      <c r="AH8" s="421"/>
      <c r="AI8" s="422"/>
      <c r="AJ8" s="423"/>
      <c r="AK8" s="423"/>
      <c r="AL8" s="424"/>
      <c r="AM8" s="290"/>
    </row>
    <row r="9" spans="2:40" ht="63.75" x14ac:dyDescent="0.2">
      <c r="B9" s="291" t="s">
        <v>324</v>
      </c>
      <c r="C9" s="317" t="s">
        <v>413</v>
      </c>
      <c r="D9" s="293">
        <v>800</v>
      </c>
      <c r="E9" s="294">
        <f>+D9*120</f>
        <v>96000</v>
      </c>
      <c r="F9" s="295">
        <v>325000</v>
      </c>
      <c r="G9" s="295">
        <f>+E9+F9</f>
        <v>421000</v>
      </c>
      <c r="H9" s="411" t="s">
        <v>379</v>
      </c>
      <c r="I9" s="296">
        <v>364</v>
      </c>
      <c r="J9" s="297">
        <f>I9*175</f>
        <v>63700</v>
      </c>
      <c r="K9" s="298">
        <v>40000</v>
      </c>
      <c r="L9" s="298">
        <f>+J9+K9</f>
        <v>103700</v>
      </c>
      <c r="M9" s="299" t="s">
        <v>532</v>
      </c>
      <c r="N9" s="300">
        <v>400</v>
      </c>
      <c r="O9" s="301">
        <f>N9*180</f>
        <v>72000</v>
      </c>
      <c r="P9" s="302">
        <v>50000</v>
      </c>
      <c r="Q9" s="302">
        <f>+O9+P9</f>
        <v>122000</v>
      </c>
      <c r="R9" s="303" t="s">
        <v>532</v>
      </c>
      <c r="S9" s="304">
        <v>400</v>
      </c>
      <c r="T9" s="332">
        <f>S9*185</f>
        <v>74000</v>
      </c>
      <c r="U9" s="306">
        <v>50000</v>
      </c>
      <c r="V9" s="306">
        <f>+T9+U9</f>
        <v>124000</v>
      </c>
      <c r="W9" s="307" t="s">
        <v>532</v>
      </c>
      <c r="X9" s="308">
        <v>0</v>
      </c>
      <c r="Y9" s="309">
        <v>0</v>
      </c>
      <c r="Z9" s="310">
        <v>0</v>
      </c>
      <c r="AA9" s="310">
        <f>+Y9+Z9</f>
        <v>0</v>
      </c>
      <c r="AB9" s="311"/>
      <c r="AC9" s="312">
        <v>0</v>
      </c>
      <c r="AD9" s="313">
        <v>0</v>
      </c>
      <c r="AE9" s="314">
        <v>0</v>
      </c>
      <c r="AF9" s="314">
        <f>+AD9+AE9</f>
        <v>0</v>
      </c>
      <c r="AG9" s="315"/>
      <c r="AH9" s="425">
        <v>0</v>
      </c>
      <c r="AI9" s="426">
        <v>0</v>
      </c>
      <c r="AJ9" s="427">
        <v>0</v>
      </c>
      <c r="AK9" s="427">
        <f>+AI9+AJ9</f>
        <v>0</v>
      </c>
      <c r="AL9" s="428"/>
      <c r="AM9" s="316">
        <f t="shared" ref="AM9:AM11" si="0">L9+Q9+V9+AA9+AF9</f>
        <v>349700</v>
      </c>
    </row>
    <row r="10" spans="2:40" ht="147.75" customHeight="1" x14ac:dyDescent="0.2">
      <c r="B10" s="291" t="s">
        <v>325</v>
      </c>
      <c r="C10" s="317" t="s">
        <v>418</v>
      </c>
      <c r="D10" s="293">
        <v>900</v>
      </c>
      <c r="E10" s="294">
        <f>+D10*130</f>
        <v>117000</v>
      </c>
      <c r="F10" s="295">
        <v>50000</v>
      </c>
      <c r="G10" s="295">
        <f t="shared" ref="G10:G15" si="1">+E10+F10</f>
        <v>167000</v>
      </c>
      <c r="H10" s="411" t="s">
        <v>326</v>
      </c>
      <c r="I10" s="296">
        <v>0</v>
      </c>
      <c r="J10" s="297">
        <f>(50000)+(25000+102000+15000+35000+22000+55000+6000+45000)+(26000+210000+85000)</f>
        <v>676000</v>
      </c>
      <c r="K10" s="298">
        <v>0</v>
      </c>
      <c r="L10" s="298">
        <f t="shared" ref="L10:L15" si="2">+J10+K10</f>
        <v>676000</v>
      </c>
      <c r="M10" s="438" t="s">
        <v>547</v>
      </c>
      <c r="N10" s="300">
        <v>0</v>
      </c>
      <c r="O10" s="301">
        <f>(720000)</f>
        <v>720000</v>
      </c>
      <c r="P10" s="302">
        <v>0</v>
      </c>
      <c r="Q10" s="302">
        <f t="shared" ref="Q10:Q16" si="3">+O10+P10</f>
        <v>720000</v>
      </c>
      <c r="R10" s="303" t="s">
        <v>534</v>
      </c>
      <c r="S10" s="304">
        <v>0</v>
      </c>
      <c r="T10" s="305">
        <f>(270000)</f>
        <v>270000</v>
      </c>
      <c r="U10" s="306">
        <v>23000</v>
      </c>
      <c r="V10" s="306">
        <f t="shared" ref="V10:V16" si="4">+T10+U10</f>
        <v>293000</v>
      </c>
      <c r="W10" s="307" t="s">
        <v>549</v>
      </c>
      <c r="X10" s="308">
        <v>0</v>
      </c>
      <c r="Y10" s="310">
        <f>(2224000)</f>
        <v>2224000</v>
      </c>
      <c r="Z10" s="310">
        <f>600000+(66000+24000)</f>
        <v>690000</v>
      </c>
      <c r="AA10" s="310">
        <f t="shared" ref="AA10:AA16" si="5">+Y10+Z10</f>
        <v>2914000</v>
      </c>
      <c r="AB10" s="311" t="s">
        <v>554</v>
      </c>
      <c r="AC10" s="312">
        <v>0</v>
      </c>
      <c r="AD10" s="313">
        <v>446000</v>
      </c>
      <c r="AE10" s="314">
        <v>618000</v>
      </c>
      <c r="AF10" s="314">
        <f t="shared" ref="AF10:AF16" si="6">+AD10+AE10</f>
        <v>1064000</v>
      </c>
      <c r="AG10" s="315" t="s">
        <v>553</v>
      </c>
      <c r="AH10" s="425">
        <v>0</v>
      </c>
      <c r="AI10" s="426">
        <v>1997000</v>
      </c>
      <c r="AJ10" s="427">
        <v>636000</v>
      </c>
      <c r="AK10" s="427">
        <f t="shared" ref="AK10:AK16" si="7">+AI10+AJ10</f>
        <v>2633000</v>
      </c>
      <c r="AL10" s="648" t="s">
        <v>551</v>
      </c>
      <c r="AM10" s="316">
        <f t="shared" si="0"/>
        <v>5667000</v>
      </c>
    </row>
    <row r="11" spans="2:40" ht="96.75" customHeight="1" x14ac:dyDescent="0.2">
      <c r="B11" s="291" t="s">
        <v>327</v>
      </c>
      <c r="C11" s="317" t="s">
        <v>412</v>
      </c>
      <c r="D11" s="293">
        <v>320</v>
      </c>
      <c r="E11" s="294">
        <f>+D11*120</f>
        <v>38400</v>
      </c>
      <c r="F11" s="295">
        <v>4000</v>
      </c>
      <c r="G11" s="295">
        <f t="shared" si="1"/>
        <v>42400</v>
      </c>
      <c r="H11" s="411" t="s">
        <v>328</v>
      </c>
      <c r="I11" s="296">
        <v>0</v>
      </c>
      <c r="J11" s="298">
        <f>(500000+409000+75000)+(66000)</f>
        <v>1050000</v>
      </c>
      <c r="K11" s="298">
        <v>0</v>
      </c>
      <c r="L11" s="298">
        <f t="shared" si="2"/>
        <v>1050000</v>
      </c>
      <c r="M11" s="299" t="s">
        <v>535</v>
      </c>
      <c r="N11" s="300">
        <v>0</v>
      </c>
      <c r="O11" s="302">
        <f>(2205000+1462000+239000)+(495000)</f>
        <v>4401000</v>
      </c>
      <c r="P11" s="302">
        <v>0</v>
      </c>
      <c r="Q11" s="302">
        <f t="shared" si="3"/>
        <v>4401000</v>
      </c>
      <c r="R11" s="440" t="s">
        <v>533</v>
      </c>
      <c r="S11" s="304">
        <v>0</v>
      </c>
      <c r="T11" s="306">
        <v>0</v>
      </c>
      <c r="U11" s="306">
        <v>0</v>
      </c>
      <c r="V11" s="306">
        <f t="shared" si="4"/>
        <v>0</v>
      </c>
      <c r="W11" s="307"/>
      <c r="X11" s="308">
        <v>0</v>
      </c>
      <c r="Y11" s="310">
        <v>0</v>
      </c>
      <c r="Z11" s="310">
        <v>0</v>
      </c>
      <c r="AA11" s="310">
        <f t="shared" si="5"/>
        <v>0</v>
      </c>
      <c r="AB11" s="650" t="s">
        <v>11</v>
      </c>
      <c r="AC11" s="312">
        <v>0</v>
      </c>
      <c r="AD11" s="313">
        <f>(79000+410000)</f>
        <v>489000</v>
      </c>
      <c r="AE11" s="313">
        <v>0</v>
      </c>
      <c r="AF11" s="314">
        <f t="shared" si="6"/>
        <v>489000</v>
      </c>
      <c r="AG11" s="315" t="s">
        <v>528</v>
      </c>
      <c r="AH11" s="425">
        <v>0</v>
      </c>
      <c r="AI11" s="426">
        <f>(2229000+1062000)</f>
        <v>3291000</v>
      </c>
      <c r="AJ11" s="426">
        <v>0</v>
      </c>
      <c r="AK11" s="427">
        <f t="shared" si="7"/>
        <v>3291000</v>
      </c>
      <c r="AL11" s="428" t="s">
        <v>524</v>
      </c>
      <c r="AM11" s="316">
        <f t="shared" si="0"/>
        <v>5940000</v>
      </c>
    </row>
    <row r="12" spans="2:40" ht="76.5" x14ac:dyDescent="0.2">
      <c r="B12" s="291" t="s">
        <v>329</v>
      </c>
      <c r="C12" s="317" t="s">
        <v>414</v>
      </c>
      <c r="D12" s="293"/>
      <c r="E12" s="294"/>
      <c r="F12" s="295"/>
      <c r="G12" s="295"/>
      <c r="H12" s="411" t="s">
        <v>330</v>
      </c>
      <c r="I12" s="296">
        <v>0</v>
      </c>
      <c r="J12" s="298">
        <v>0</v>
      </c>
      <c r="K12" s="298">
        <v>0</v>
      </c>
      <c r="L12" s="298">
        <f t="shared" si="2"/>
        <v>0</v>
      </c>
      <c r="M12" s="299"/>
      <c r="N12" s="300">
        <v>0</v>
      </c>
      <c r="O12" s="302">
        <v>0</v>
      </c>
      <c r="P12" s="302">
        <v>0</v>
      </c>
      <c r="Q12" s="302">
        <f t="shared" si="3"/>
        <v>0</v>
      </c>
      <c r="R12" s="303"/>
      <c r="S12" s="304">
        <v>0</v>
      </c>
      <c r="T12" s="306">
        <f>(17688000+10927000+2843000)</f>
        <v>31458000</v>
      </c>
      <c r="U12" s="306">
        <v>0</v>
      </c>
      <c r="V12" s="306">
        <f t="shared" si="4"/>
        <v>31458000</v>
      </c>
      <c r="W12" s="307" t="s">
        <v>548</v>
      </c>
      <c r="X12" s="308">
        <v>0</v>
      </c>
      <c r="Y12" s="310">
        <f>(54000+135000)</f>
        <v>189000</v>
      </c>
      <c r="Z12" s="310">
        <f>(37000+216000)</f>
        <v>253000</v>
      </c>
      <c r="AA12" s="310">
        <f t="shared" si="5"/>
        <v>442000</v>
      </c>
      <c r="AB12" s="311" t="s">
        <v>555</v>
      </c>
      <c r="AC12" s="312">
        <v>0</v>
      </c>
      <c r="AD12" s="313">
        <f>(6255000)+(1114000)</f>
        <v>7369000</v>
      </c>
      <c r="AE12" s="313">
        <f>(38000+222000)</f>
        <v>260000</v>
      </c>
      <c r="AF12" s="314">
        <f t="shared" si="6"/>
        <v>7629000</v>
      </c>
      <c r="AG12" s="315" t="s">
        <v>552</v>
      </c>
      <c r="AH12" s="425">
        <v>0</v>
      </c>
      <c r="AI12" s="426">
        <f>(3378000+650000)</f>
        <v>4028000</v>
      </c>
      <c r="AJ12" s="426">
        <f>(39000+13000+229000)</f>
        <v>281000</v>
      </c>
      <c r="AK12" s="427">
        <f t="shared" si="7"/>
        <v>4309000</v>
      </c>
      <c r="AL12" s="428" t="s">
        <v>550</v>
      </c>
      <c r="AM12" s="316">
        <f>Q12+V12+AA12+AF12+AK12</f>
        <v>43838000</v>
      </c>
    </row>
    <row r="13" spans="2:40" ht="38.25" x14ac:dyDescent="0.2">
      <c r="B13" s="291" t="s">
        <v>331</v>
      </c>
      <c r="C13" s="317" t="s">
        <v>411</v>
      </c>
      <c r="D13" s="293">
        <v>80</v>
      </c>
      <c r="E13" s="294">
        <f>+D13*130</f>
        <v>10400</v>
      </c>
      <c r="F13" s="295">
        <v>33000</v>
      </c>
      <c r="G13" s="295">
        <f t="shared" si="1"/>
        <v>43400</v>
      </c>
      <c r="H13" s="411" t="s">
        <v>332</v>
      </c>
      <c r="I13" s="296">
        <v>0</v>
      </c>
      <c r="J13" s="297">
        <v>0</v>
      </c>
      <c r="K13" s="298">
        <v>0</v>
      </c>
      <c r="L13" s="298">
        <f t="shared" si="2"/>
        <v>0</v>
      </c>
      <c r="M13" s="299"/>
      <c r="N13" s="300">
        <v>0</v>
      </c>
      <c r="O13" s="301">
        <v>0</v>
      </c>
      <c r="P13" s="302">
        <v>0</v>
      </c>
      <c r="Q13" s="302">
        <f t="shared" si="3"/>
        <v>0</v>
      </c>
      <c r="R13" s="303"/>
      <c r="S13" s="304">
        <v>0</v>
      </c>
      <c r="T13" s="305">
        <v>0</v>
      </c>
      <c r="U13" s="306">
        <v>0</v>
      </c>
      <c r="V13" s="306">
        <f t="shared" si="4"/>
        <v>0</v>
      </c>
      <c r="W13" s="307"/>
      <c r="X13" s="308">
        <v>0</v>
      </c>
      <c r="Y13" s="309">
        <v>0</v>
      </c>
      <c r="Z13" s="310">
        <v>0</v>
      </c>
      <c r="AA13" s="310">
        <f t="shared" si="5"/>
        <v>0</v>
      </c>
      <c r="AB13" s="404"/>
      <c r="AC13" s="312">
        <v>0</v>
      </c>
      <c r="AD13" s="313">
        <v>0</v>
      </c>
      <c r="AE13" s="314">
        <v>0</v>
      </c>
      <c r="AF13" s="314">
        <f t="shared" si="6"/>
        <v>0</v>
      </c>
      <c r="AG13" s="315"/>
      <c r="AH13" s="425">
        <v>0</v>
      </c>
      <c r="AI13" s="426">
        <v>0</v>
      </c>
      <c r="AJ13" s="427">
        <v>0</v>
      </c>
      <c r="AK13" s="427">
        <f t="shared" si="7"/>
        <v>0</v>
      </c>
      <c r="AL13" s="428"/>
      <c r="AM13" s="316">
        <f t="shared" ref="AM13:AM16" si="8">Q13+V13+AA13+AF13+AK13</f>
        <v>0</v>
      </c>
    </row>
    <row r="14" spans="2:40" ht="38.25" x14ac:dyDescent="0.2">
      <c r="B14" s="291" t="s">
        <v>333</v>
      </c>
      <c r="C14" s="317" t="s">
        <v>334</v>
      </c>
      <c r="D14" s="293">
        <v>200</v>
      </c>
      <c r="E14" s="294">
        <f>+D14*130</f>
        <v>26000</v>
      </c>
      <c r="F14" s="295">
        <v>500</v>
      </c>
      <c r="G14" s="295">
        <f t="shared" si="1"/>
        <v>26500</v>
      </c>
      <c r="H14" s="411" t="s">
        <v>335</v>
      </c>
      <c r="I14" s="296">
        <v>96</v>
      </c>
      <c r="J14" s="297">
        <f>+I14*175</f>
        <v>16800</v>
      </c>
      <c r="K14" s="298">
        <v>1500</v>
      </c>
      <c r="L14" s="298">
        <f t="shared" si="2"/>
        <v>18300</v>
      </c>
      <c r="M14" s="318" t="s">
        <v>536</v>
      </c>
      <c r="N14" s="300">
        <v>140</v>
      </c>
      <c r="O14" s="301">
        <f>+N14*180</f>
        <v>25200</v>
      </c>
      <c r="P14" s="302">
        <v>1800</v>
      </c>
      <c r="Q14" s="302">
        <f t="shared" si="3"/>
        <v>27000</v>
      </c>
      <c r="R14" s="303" t="s">
        <v>531</v>
      </c>
      <c r="S14" s="304">
        <v>140</v>
      </c>
      <c r="T14" s="332">
        <f>S14*185</f>
        <v>25900</v>
      </c>
      <c r="U14" s="306">
        <v>2100</v>
      </c>
      <c r="V14" s="306">
        <f t="shared" si="4"/>
        <v>28000</v>
      </c>
      <c r="W14" s="307" t="s">
        <v>531</v>
      </c>
      <c r="X14" s="308">
        <v>140</v>
      </c>
      <c r="Y14" s="309">
        <f>X14*190</f>
        <v>26600</v>
      </c>
      <c r="Z14" s="310">
        <v>2400</v>
      </c>
      <c r="AA14" s="310">
        <f t="shared" si="5"/>
        <v>29000</v>
      </c>
      <c r="AB14" s="311" t="s">
        <v>531</v>
      </c>
      <c r="AC14" s="312">
        <v>140</v>
      </c>
      <c r="AD14" s="313">
        <f>+AC14*195</f>
        <v>27300</v>
      </c>
      <c r="AE14" s="314">
        <v>2700</v>
      </c>
      <c r="AF14" s="314">
        <f t="shared" si="6"/>
        <v>30000</v>
      </c>
      <c r="AG14" s="315" t="s">
        <v>525</v>
      </c>
      <c r="AH14" s="425">
        <v>140</v>
      </c>
      <c r="AI14" s="426">
        <f>+AH14*205</f>
        <v>28700</v>
      </c>
      <c r="AJ14" s="427">
        <v>3300</v>
      </c>
      <c r="AK14" s="427">
        <f t="shared" si="7"/>
        <v>32000</v>
      </c>
      <c r="AL14" s="648" t="s">
        <v>529</v>
      </c>
      <c r="AM14" s="316">
        <f t="shared" si="8"/>
        <v>146000</v>
      </c>
    </row>
    <row r="15" spans="2:40" s="321" customFormat="1" ht="25.5" x14ac:dyDescent="0.25">
      <c r="B15" s="291" t="s">
        <v>336</v>
      </c>
      <c r="C15" s="317" t="s">
        <v>337</v>
      </c>
      <c r="D15" s="293">
        <v>0</v>
      </c>
      <c r="E15" s="294">
        <v>0</v>
      </c>
      <c r="F15" s="295">
        <v>0</v>
      </c>
      <c r="G15" s="295">
        <f t="shared" si="1"/>
        <v>0</v>
      </c>
      <c r="H15" s="411" t="s">
        <v>338</v>
      </c>
      <c r="I15" s="296">
        <v>0</v>
      </c>
      <c r="J15" s="297">
        <v>0</v>
      </c>
      <c r="K15" s="298">
        <v>0</v>
      </c>
      <c r="L15" s="298">
        <f t="shared" si="2"/>
        <v>0</v>
      </c>
      <c r="M15" s="299"/>
      <c r="N15" s="319">
        <v>0</v>
      </c>
      <c r="O15" s="301">
        <v>0</v>
      </c>
      <c r="P15" s="302">
        <v>0</v>
      </c>
      <c r="Q15" s="302">
        <f t="shared" si="3"/>
        <v>0</v>
      </c>
      <c r="R15" s="303"/>
      <c r="S15" s="320">
        <v>0</v>
      </c>
      <c r="T15" s="305">
        <v>0</v>
      </c>
      <c r="U15" s="306">
        <v>0</v>
      </c>
      <c r="V15" s="306">
        <f t="shared" si="4"/>
        <v>0</v>
      </c>
      <c r="W15" s="437" t="s">
        <v>11</v>
      </c>
      <c r="X15" s="308">
        <v>0</v>
      </c>
      <c r="Y15" s="309">
        <v>0</v>
      </c>
      <c r="Z15" s="310">
        <v>0</v>
      </c>
      <c r="AA15" s="310">
        <f t="shared" si="5"/>
        <v>0</v>
      </c>
      <c r="AB15" s="311"/>
      <c r="AC15" s="312">
        <v>0</v>
      </c>
      <c r="AD15" s="313">
        <v>180000</v>
      </c>
      <c r="AE15" s="314">
        <v>20000</v>
      </c>
      <c r="AF15" s="314">
        <f t="shared" si="6"/>
        <v>200000</v>
      </c>
      <c r="AG15" s="315" t="s">
        <v>526</v>
      </c>
      <c r="AH15" s="425">
        <v>0</v>
      </c>
      <c r="AI15" s="426">
        <v>0</v>
      </c>
      <c r="AJ15" s="427">
        <v>0</v>
      </c>
      <c r="AK15" s="427">
        <f t="shared" si="7"/>
        <v>0</v>
      </c>
      <c r="AL15" s="428"/>
      <c r="AM15" s="316">
        <f t="shared" si="8"/>
        <v>200000</v>
      </c>
    </row>
    <row r="16" spans="2:40" s="321" customFormat="1" ht="25.5" x14ac:dyDescent="0.25">
      <c r="B16" s="322" t="s">
        <v>339</v>
      </c>
      <c r="C16" s="415" t="s">
        <v>340</v>
      </c>
      <c r="D16" s="323">
        <v>400</v>
      </c>
      <c r="E16" s="324">
        <f>+D16*130</f>
        <v>52000</v>
      </c>
      <c r="F16" s="325">
        <v>3000</v>
      </c>
      <c r="G16" s="325">
        <f>+E16+F16</f>
        <v>55000</v>
      </c>
      <c r="H16" s="412" t="s">
        <v>341</v>
      </c>
      <c r="I16" s="326">
        <v>140</v>
      </c>
      <c r="J16" s="297">
        <f>+I16*175</f>
        <v>24500</v>
      </c>
      <c r="K16" s="298">
        <v>2000</v>
      </c>
      <c r="L16" s="298">
        <f t="shared" ref="L16" si="9">+J16+K16</f>
        <v>26500</v>
      </c>
      <c r="M16" s="327" t="s">
        <v>537</v>
      </c>
      <c r="N16" s="328">
        <v>80</v>
      </c>
      <c r="O16" s="329">
        <f>N16*180</f>
        <v>14400</v>
      </c>
      <c r="P16" s="330">
        <v>2600</v>
      </c>
      <c r="Q16" s="302">
        <f t="shared" si="3"/>
        <v>17000</v>
      </c>
      <c r="R16" s="331" t="s">
        <v>530</v>
      </c>
      <c r="S16" s="304">
        <v>80</v>
      </c>
      <c r="T16" s="332">
        <f>S16*185</f>
        <v>14800</v>
      </c>
      <c r="U16" s="333">
        <v>2700</v>
      </c>
      <c r="V16" s="306">
        <f t="shared" si="4"/>
        <v>17500</v>
      </c>
      <c r="W16" s="334" t="s">
        <v>530</v>
      </c>
      <c r="X16" s="308">
        <v>80</v>
      </c>
      <c r="Y16" s="335">
        <f>X16*190</f>
        <v>15200</v>
      </c>
      <c r="Z16" s="336">
        <v>2800</v>
      </c>
      <c r="AA16" s="310">
        <f t="shared" si="5"/>
        <v>18000</v>
      </c>
      <c r="AB16" s="337" t="s">
        <v>530</v>
      </c>
      <c r="AC16" s="312">
        <v>80</v>
      </c>
      <c r="AD16" s="338">
        <f>AC16*195</f>
        <v>15600</v>
      </c>
      <c r="AE16" s="339">
        <v>2900</v>
      </c>
      <c r="AF16" s="314">
        <f t="shared" si="6"/>
        <v>18500</v>
      </c>
      <c r="AG16" s="340" t="s">
        <v>527</v>
      </c>
      <c r="AH16" s="425">
        <v>80</v>
      </c>
      <c r="AI16" s="429">
        <f>AH16*200</f>
        <v>16000</v>
      </c>
      <c r="AJ16" s="430">
        <v>0</v>
      </c>
      <c r="AK16" s="427">
        <f t="shared" si="7"/>
        <v>16000</v>
      </c>
      <c r="AL16" s="431" t="s">
        <v>530</v>
      </c>
      <c r="AM16" s="316">
        <f t="shared" si="8"/>
        <v>87000</v>
      </c>
      <c r="AN16" s="341"/>
    </row>
    <row r="17" spans="2:40" ht="13.5" thickBot="1" x14ac:dyDescent="0.25">
      <c r="B17" s="342"/>
      <c r="C17" s="343" t="s">
        <v>342</v>
      </c>
      <c r="D17" s="344">
        <f>SUM(D9:D16)</f>
        <v>2700</v>
      </c>
      <c r="E17" s="345">
        <f>SUM(E9:E16)</f>
        <v>339800</v>
      </c>
      <c r="F17" s="346">
        <f>SUM(F9:F16)</f>
        <v>415500</v>
      </c>
      <c r="G17" s="346">
        <f>SUM(G9:G16)</f>
        <v>755300</v>
      </c>
      <c r="H17" s="413"/>
      <c r="I17" s="347">
        <f>SUM(I9:I16)</f>
        <v>600</v>
      </c>
      <c r="J17" s="348">
        <f>SUM(J9:J16)</f>
        <v>1831000</v>
      </c>
      <c r="K17" s="349">
        <f>SUM(K9:K16)</f>
        <v>43500</v>
      </c>
      <c r="L17" s="349">
        <f>SUM(L9:L16)</f>
        <v>1874500</v>
      </c>
      <c r="M17" s="350"/>
      <c r="N17" s="351">
        <f>SUM(N9:N16)</f>
        <v>620</v>
      </c>
      <c r="O17" s="352">
        <f>SUM(O9:O16)</f>
        <v>5232600</v>
      </c>
      <c r="P17" s="353">
        <f>SUM(P9:P16)</f>
        <v>54400</v>
      </c>
      <c r="Q17" s="353">
        <f>SUM(Q9:Q16)</f>
        <v>5287000</v>
      </c>
      <c r="R17" s="354"/>
      <c r="S17" s="355">
        <f>SUM(S9:S16)</f>
        <v>620</v>
      </c>
      <c r="T17" s="356">
        <f>SUM(T9:T16)</f>
        <v>31842700</v>
      </c>
      <c r="U17" s="357">
        <f>SUM(U9:U16)</f>
        <v>77800</v>
      </c>
      <c r="V17" s="357">
        <f>SUM(V9:V16)</f>
        <v>31920500</v>
      </c>
      <c r="W17" s="358"/>
      <c r="X17" s="359">
        <f>SUM(X9:X16)</f>
        <v>220</v>
      </c>
      <c r="Y17" s="360">
        <f>SUM(Y9:Y16)</f>
        <v>2454800</v>
      </c>
      <c r="Z17" s="361">
        <f>SUM(Z9:Z16)</f>
        <v>948200</v>
      </c>
      <c r="AA17" s="361">
        <f>SUM(AA9:AA16)</f>
        <v>3403000</v>
      </c>
      <c r="AB17" s="362"/>
      <c r="AC17" s="363">
        <f>SUM(AC9:AC16)</f>
        <v>220</v>
      </c>
      <c r="AD17" s="364">
        <f>SUM(AD9:AD16)</f>
        <v>8526900</v>
      </c>
      <c r="AE17" s="365">
        <f>SUM(AE9:AE16)</f>
        <v>903600</v>
      </c>
      <c r="AF17" s="365">
        <f>SUM(AF9:AF16)</f>
        <v>9430500</v>
      </c>
      <c r="AG17" s="366"/>
      <c r="AH17" s="432">
        <f>SUM(AH9:AH16)</f>
        <v>220</v>
      </c>
      <c r="AI17" s="433">
        <f>SUM(AI9:AI16)</f>
        <v>9360700</v>
      </c>
      <c r="AJ17" s="434">
        <f>SUM(AJ9:AJ16)</f>
        <v>920300</v>
      </c>
      <c r="AK17" s="434">
        <f>SUM(AK9:AK16)</f>
        <v>10281000</v>
      </c>
      <c r="AL17" s="435"/>
      <c r="AM17" s="367">
        <f>SUM(AM9:AM16)</f>
        <v>56227700</v>
      </c>
      <c r="AN17" s="218"/>
    </row>
    <row r="18" spans="2:40" ht="13.5" thickTop="1" x14ac:dyDescent="0.2">
      <c r="B18" s="265">
        <v>2</v>
      </c>
      <c r="C18" s="266" t="s">
        <v>269</v>
      </c>
      <c r="D18" s="267"/>
      <c r="E18" s="268"/>
      <c r="F18" s="269"/>
      <c r="G18" s="269"/>
      <c r="H18" s="410"/>
      <c r="I18" s="270"/>
      <c r="J18" s="271"/>
      <c r="K18" s="272"/>
      <c r="L18" s="272"/>
      <c r="M18" s="368"/>
      <c r="N18" s="274"/>
      <c r="O18" s="275"/>
      <c r="P18" s="276"/>
      <c r="Q18" s="276"/>
      <c r="R18" s="277"/>
      <c r="S18" s="278"/>
      <c r="T18" s="279"/>
      <c r="U18" s="280"/>
      <c r="V18" s="280"/>
      <c r="W18" s="281"/>
      <c r="X18" s="282"/>
      <c r="Y18" s="283"/>
      <c r="Z18" s="284"/>
      <c r="AA18" s="284"/>
      <c r="AB18" s="285"/>
      <c r="AC18" s="286"/>
      <c r="AD18" s="287"/>
      <c r="AE18" s="288"/>
      <c r="AF18" s="288"/>
      <c r="AG18" s="289"/>
      <c r="AH18" s="421"/>
      <c r="AI18" s="422"/>
      <c r="AJ18" s="423"/>
      <c r="AK18" s="423"/>
      <c r="AL18" s="424"/>
      <c r="AM18" s="290"/>
    </row>
    <row r="19" spans="2:40" ht="51" x14ac:dyDescent="0.2">
      <c r="B19" s="291" t="s">
        <v>343</v>
      </c>
      <c r="C19" s="292" t="s">
        <v>344</v>
      </c>
      <c r="D19" s="293">
        <v>80</v>
      </c>
      <c r="E19" s="294">
        <f>+D19*140</f>
        <v>11200</v>
      </c>
      <c r="F19" s="295">
        <v>15000</v>
      </c>
      <c r="G19" s="295">
        <f>+E19+F19</f>
        <v>26200</v>
      </c>
      <c r="H19" s="411" t="s">
        <v>377</v>
      </c>
      <c r="I19" s="296">
        <v>140</v>
      </c>
      <c r="J19" s="297">
        <f>+I19*175</f>
        <v>24500</v>
      </c>
      <c r="K19" s="298">
        <v>56400</v>
      </c>
      <c r="L19" s="298">
        <f>+J19+K19</f>
        <v>80900</v>
      </c>
      <c r="M19" s="299" t="s">
        <v>345</v>
      </c>
      <c r="N19" s="300">
        <v>400</v>
      </c>
      <c r="O19" s="301">
        <f>+N19*100</f>
        <v>40000</v>
      </c>
      <c r="P19" s="302">
        <v>60000</v>
      </c>
      <c r="Q19" s="302">
        <v>97000</v>
      </c>
      <c r="R19" s="303" t="s">
        <v>386</v>
      </c>
      <c r="S19" s="304">
        <v>400</v>
      </c>
      <c r="T19" s="305">
        <v>229000</v>
      </c>
      <c r="U19" s="306">
        <v>40000</v>
      </c>
      <c r="V19" s="306">
        <f>+T19+U19</f>
        <v>269000</v>
      </c>
      <c r="W19" s="307" t="s">
        <v>386</v>
      </c>
      <c r="X19" s="308">
        <v>400</v>
      </c>
      <c r="Y19" s="309">
        <f>+X19*100</f>
        <v>40000</v>
      </c>
      <c r="Z19" s="310">
        <v>60000</v>
      </c>
      <c r="AA19" s="310">
        <f>+Y19+Z19</f>
        <v>100000</v>
      </c>
      <c r="AB19" s="311" t="s">
        <v>386</v>
      </c>
      <c r="AC19" s="312">
        <v>0</v>
      </c>
      <c r="AD19" s="313">
        <v>0</v>
      </c>
      <c r="AE19" s="314">
        <v>0</v>
      </c>
      <c r="AF19" s="314">
        <f>+AD19+AE19</f>
        <v>0</v>
      </c>
      <c r="AG19" s="315"/>
      <c r="AH19" s="425">
        <v>0</v>
      </c>
      <c r="AI19" s="426">
        <v>0</v>
      </c>
      <c r="AJ19" s="427">
        <v>0</v>
      </c>
      <c r="AK19" s="427">
        <f>+AI19+AJ19</f>
        <v>0</v>
      </c>
      <c r="AL19" s="428"/>
      <c r="AM19" s="316">
        <f>Q19+V19+AA19+AF19+AK19</f>
        <v>466000</v>
      </c>
    </row>
    <row r="20" spans="2:40" ht="38.25" x14ac:dyDescent="0.2">
      <c r="B20" s="291" t="s">
        <v>346</v>
      </c>
      <c r="C20" s="292" t="s">
        <v>347</v>
      </c>
      <c r="D20" s="293">
        <v>400</v>
      </c>
      <c r="E20" s="294">
        <f>+D20*100</f>
        <v>40000</v>
      </c>
      <c r="F20" s="295">
        <v>20000</v>
      </c>
      <c r="G20" s="295">
        <f t="shared" ref="G20:G24" si="10">+E20+F20</f>
        <v>60000</v>
      </c>
      <c r="H20" s="411" t="s">
        <v>348</v>
      </c>
      <c r="I20" s="296">
        <v>180</v>
      </c>
      <c r="J20" s="297">
        <f>+I20*175</f>
        <v>31500</v>
      </c>
      <c r="K20" s="298">
        <v>96400</v>
      </c>
      <c r="L20" s="298">
        <f t="shared" ref="L20:L24" si="11">+J20+K20</f>
        <v>127900</v>
      </c>
      <c r="M20" s="299" t="s">
        <v>523</v>
      </c>
      <c r="N20" s="300">
        <v>900</v>
      </c>
      <c r="O20" s="301">
        <f t="shared" ref="O20:O24" si="12">+N20*100</f>
        <v>90000</v>
      </c>
      <c r="P20" s="302">
        <v>120000</v>
      </c>
      <c r="Q20" s="302">
        <v>190000</v>
      </c>
      <c r="R20" s="303" t="s">
        <v>522</v>
      </c>
      <c r="S20" s="304">
        <v>900</v>
      </c>
      <c r="T20" s="305">
        <v>160000</v>
      </c>
      <c r="U20" s="306">
        <v>50000</v>
      </c>
      <c r="V20" s="306">
        <f t="shared" ref="V20:V24" si="13">+T20+U20</f>
        <v>210000</v>
      </c>
      <c r="W20" s="307" t="s">
        <v>522</v>
      </c>
      <c r="X20" s="308">
        <v>900</v>
      </c>
      <c r="Y20" s="309">
        <f t="shared" ref="Y20:Y24" si="14">+X20*100</f>
        <v>90000</v>
      </c>
      <c r="Z20" s="310">
        <v>120000</v>
      </c>
      <c r="AA20" s="310">
        <f t="shared" ref="AA20:AA24" si="15">+Y20+Z20</f>
        <v>210000</v>
      </c>
      <c r="AB20" s="311" t="s">
        <v>522</v>
      </c>
      <c r="AC20" s="312">
        <v>900</v>
      </c>
      <c r="AD20" s="313">
        <v>80000</v>
      </c>
      <c r="AE20" s="314">
        <v>50000</v>
      </c>
      <c r="AF20" s="314">
        <f t="shared" ref="AF20:AF24" si="16">+AD20+AE20</f>
        <v>130000</v>
      </c>
      <c r="AG20" s="315" t="s">
        <v>522</v>
      </c>
      <c r="AH20" s="425">
        <v>900</v>
      </c>
      <c r="AI20" s="426">
        <v>80000</v>
      </c>
      <c r="AJ20" s="427">
        <v>50000</v>
      </c>
      <c r="AK20" s="427">
        <f t="shared" ref="AK20:AK24" si="17">+AI20+AJ20</f>
        <v>130000</v>
      </c>
      <c r="AL20" s="428" t="s">
        <v>522</v>
      </c>
      <c r="AM20" s="316">
        <f t="shared" ref="AM20:AM24" si="18">Q20+V20+AA20+AF20+AK20</f>
        <v>870000</v>
      </c>
    </row>
    <row r="21" spans="2:40" ht="38.25" x14ac:dyDescent="0.2">
      <c r="B21" s="291" t="s">
        <v>349</v>
      </c>
      <c r="C21" s="292" t="s">
        <v>350</v>
      </c>
      <c r="D21" s="293">
        <v>0</v>
      </c>
      <c r="E21" s="294">
        <f>+D21*150</f>
        <v>0</v>
      </c>
      <c r="F21" s="295">
        <v>0</v>
      </c>
      <c r="G21" s="295">
        <f t="shared" si="10"/>
        <v>0</v>
      </c>
      <c r="H21" s="411"/>
      <c r="I21" s="296">
        <v>40</v>
      </c>
      <c r="J21" s="297">
        <f>+I21*175</f>
        <v>7000</v>
      </c>
      <c r="K21" s="298">
        <v>8000</v>
      </c>
      <c r="L21" s="298">
        <f t="shared" si="11"/>
        <v>15000</v>
      </c>
      <c r="M21" s="299" t="s">
        <v>392</v>
      </c>
      <c r="N21" s="300">
        <v>40</v>
      </c>
      <c r="O21" s="301">
        <f t="shared" si="12"/>
        <v>4000</v>
      </c>
      <c r="P21" s="302"/>
      <c r="Q21" s="302">
        <f t="shared" ref="Q21:Q23" si="19">+O21+P21</f>
        <v>4000</v>
      </c>
      <c r="R21" s="303"/>
      <c r="S21" s="304">
        <v>40</v>
      </c>
      <c r="T21" s="305">
        <v>60000</v>
      </c>
      <c r="U21" s="306">
        <v>2000</v>
      </c>
      <c r="V21" s="306">
        <f t="shared" si="13"/>
        <v>62000</v>
      </c>
      <c r="W21" s="307" t="s">
        <v>393</v>
      </c>
      <c r="X21" s="308">
        <v>40</v>
      </c>
      <c r="Y21" s="309">
        <v>75000</v>
      </c>
      <c r="Z21" s="310">
        <v>5000</v>
      </c>
      <c r="AA21" s="310">
        <f t="shared" si="15"/>
        <v>80000</v>
      </c>
      <c r="AB21" s="311" t="s">
        <v>387</v>
      </c>
      <c r="AC21" s="312">
        <v>40</v>
      </c>
      <c r="AD21" s="313">
        <v>55000</v>
      </c>
      <c r="AE21" s="314">
        <v>10000</v>
      </c>
      <c r="AF21" s="314">
        <f t="shared" si="16"/>
        <v>65000</v>
      </c>
      <c r="AG21" s="315" t="s">
        <v>385</v>
      </c>
      <c r="AH21" s="425"/>
      <c r="AI21" s="426"/>
      <c r="AJ21" s="427"/>
      <c r="AK21" s="427">
        <f t="shared" si="17"/>
        <v>0</v>
      </c>
      <c r="AL21" s="428"/>
      <c r="AM21" s="316">
        <f t="shared" si="18"/>
        <v>211000</v>
      </c>
    </row>
    <row r="22" spans="2:40" s="321" customFormat="1" ht="25.5" x14ac:dyDescent="0.25">
      <c r="B22" s="291" t="s">
        <v>351</v>
      </c>
      <c r="C22" s="292" t="s">
        <v>352</v>
      </c>
      <c r="D22" s="293">
        <v>0</v>
      </c>
      <c r="E22" s="294">
        <f>+D22*130</f>
        <v>0</v>
      </c>
      <c r="F22" s="295">
        <v>0</v>
      </c>
      <c r="G22" s="295">
        <f t="shared" si="10"/>
        <v>0</v>
      </c>
      <c r="H22" s="414" t="s">
        <v>353</v>
      </c>
      <c r="I22" s="296">
        <v>80</v>
      </c>
      <c r="J22" s="297">
        <f>+I22*175</f>
        <v>14000</v>
      </c>
      <c r="K22" s="298">
        <v>14000</v>
      </c>
      <c r="L22" s="298">
        <f t="shared" si="11"/>
        <v>28000</v>
      </c>
      <c r="M22" s="299" t="s">
        <v>391</v>
      </c>
      <c r="N22" s="300">
        <v>80</v>
      </c>
      <c r="O22" s="301">
        <f t="shared" si="12"/>
        <v>8000</v>
      </c>
      <c r="P22" s="302">
        <v>5000</v>
      </c>
      <c r="Q22" s="302">
        <f t="shared" si="19"/>
        <v>13000</v>
      </c>
      <c r="R22" s="303" t="s">
        <v>384</v>
      </c>
      <c r="S22" s="304">
        <v>80</v>
      </c>
      <c r="T22" s="305">
        <f t="shared" ref="T22:T23" si="20">+S22*100</f>
        <v>8000</v>
      </c>
      <c r="U22" s="306">
        <v>5000</v>
      </c>
      <c r="V22" s="306">
        <f t="shared" si="13"/>
        <v>13000</v>
      </c>
      <c r="W22" s="307" t="s">
        <v>384</v>
      </c>
      <c r="X22" s="308">
        <v>80</v>
      </c>
      <c r="Y22" s="309">
        <f t="shared" si="14"/>
        <v>8000</v>
      </c>
      <c r="Z22" s="310">
        <v>5000</v>
      </c>
      <c r="AA22" s="310">
        <f t="shared" si="15"/>
        <v>13000</v>
      </c>
      <c r="AB22" s="311" t="s">
        <v>384</v>
      </c>
      <c r="AC22" s="312">
        <v>80</v>
      </c>
      <c r="AD22" s="313">
        <f t="shared" ref="AD22:AD24" si="21">+AC22*100</f>
        <v>8000</v>
      </c>
      <c r="AE22" s="314">
        <v>5000</v>
      </c>
      <c r="AF22" s="314">
        <f t="shared" si="16"/>
        <v>13000</v>
      </c>
      <c r="AG22" s="315" t="s">
        <v>384</v>
      </c>
      <c r="AH22" s="425">
        <v>80</v>
      </c>
      <c r="AI22" s="426">
        <f t="shared" ref="AI22:AI24" si="22">+AH22*100</f>
        <v>8000</v>
      </c>
      <c r="AJ22" s="427">
        <v>5000</v>
      </c>
      <c r="AK22" s="427">
        <f t="shared" si="17"/>
        <v>13000</v>
      </c>
      <c r="AL22" s="428" t="s">
        <v>384</v>
      </c>
      <c r="AM22" s="316">
        <f t="shared" si="18"/>
        <v>65000</v>
      </c>
    </row>
    <row r="23" spans="2:40" ht="38.25" x14ac:dyDescent="0.2">
      <c r="B23" s="291" t="s">
        <v>354</v>
      </c>
      <c r="C23" s="292" t="s">
        <v>355</v>
      </c>
      <c r="D23" s="293">
        <v>40</v>
      </c>
      <c r="E23" s="294">
        <f>+D23*120</f>
        <v>4800</v>
      </c>
      <c r="F23" s="295">
        <v>0</v>
      </c>
      <c r="G23" s="295">
        <f t="shared" si="10"/>
        <v>4800</v>
      </c>
      <c r="H23" s="411" t="s">
        <v>356</v>
      </c>
      <c r="I23" s="296">
        <v>40</v>
      </c>
      <c r="J23" s="297">
        <f>+I23*175</f>
        <v>7000</v>
      </c>
      <c r="K23" s="298">
        <v>0</v>
      </c>
      <c r="L23" s="298">
        <f t="shared" si="11"/>
        <v>7000</v>
      </c>
      <c r="M23" s="299" t="s">
        <v>390</v>
      </c>
      <c r="N23" s="300">
        <v>40</v>
      </c>
      <c r="O23" s="301">
        <f t="shared" si="12"/>
        <v>4000</v>
      </c>
      <c r="P23" s="302">
        <v>0</v>
      </c>
      <c r="Q23" s="302">
        <f t="shared" si="19"/>
        <v>4000</v>
      </c>
      <c r="R23" s="303" t="s">
        <v>357</v>
      </c>
      <c r="S23" s="304">
        <v>40</v>
      </c>
      <c r="T23" s="305">
        <f t="shared" si="20"/>
        <v>4000</v>
      </c>
      <c r="U23" s="306">
        <v>0</v>
      </c>
      <c r="V23" s="306">
        <f t="shared" si="13"/>
        <v>4000</v>
      </c>
      <c r="W23" s="307" t="s">
        <v>357</v>
      </c>
      <c r="X23" s="308">
        <v>40</v>
      </c>
      <c r="Y23" s="309">
        <f t="shared" si="14"/>
        <v>4000</v>
      </c>
      <c r="Z23" s="310">
        <v>0</v>
      </c>
      <c r="AA23" s="310">
        <f t="shared" si="15"/>
        <v>4000</v>
      </c>
      <c r="AB23" s="311" t="s">
        <v>357</v>
      </c>
      <c r="AC23" s="312">
        <v>40</v>
      </c>
      <c r="AD23" s="313">
        <f t="shared" si="21"/>
        <v>4000</v>
      </c>
      <c r="AE23" s="314">
        <v>0</v>
      </c>
      <c r="AF23" s="314">
        <f t="shared" si="16"/>
        <v>4000</v>
      </c>
      <c r="AG23" s="315" t="s">
        <v>357</v>
      </c>
      <c r="AH23" s="425"/>
      <c r="AI23" s="426"/>
      <c r="AJ23" s="427">
        <v>0</v>
      </c>
      <c r="AK23" s="427">
        <f t="shared" si="17"/>
        <v>0</v>
      </c>
      <c r="AL23" s="428"/>
      <c r="AM23" s="316">
        <f t="shared" si="18"/>
        <v>16000</v>
      </c>
    </row>
    <row r="24" spans="2:40" s="321" customFormat="1" ht="38.25" x14ac:dyDescent="0.25">
      <c r="B24" s="291" t="s">
        <v>358</v>
      </c>
      <c r="C24" s="317" t="s">
        <v>538</v>
      </c>
      <c r="D24" s="293"/>
      <c r="E24" s="294">
        <f>+D24*130</f>
        <v>0</v>
      </c>
      <c r="F24" s="295">
        <v>0</v>
      </c>
      <c r="G24" s="295">
        <f t="shared" si="10"/>
        <v>0</v>
      </c>
      <c r="H24" s="411" t="s">
        <v>359</v>
      </c>
      <c r="I24" s="296">
        <v>40</v>
      </c>
      <c r="J24" s="297">
        <f>(+I24*175)+(35000+14000+15000)</f>
        <v>71000</v>
      </c>
      <c r="K24" s="298">
        <v>2000</v>
      </c>
      <c r="L24" s="298">
        <f t="shared" si="11"/>
        <v>73000</v>
      </c>
      <c r="M24" s="299" t="s">
        <v>389</v>
      </c>
      <c r="N24" s="300">
        <v>240</v>
      </c>
      <c r="O24" s="301">
        <f t="shared" si="12"/>
        <v>24000</v>
      </c>
      <c r="P24" s="302">
        <v>12000</v>
      </c>
      <c r="Q24" s="302">
        <v>35200</v>
      </c>
      <c r="R24" s="303" t="s">
        <v>360</v>
      </c>
      <c r="S24" s="304">
        <v>240</v>
      </c>
      <c r="T24" s="305">
        <v>12000</v>
      </c>
      <c r="U24" s="306">
        <v>2000</v>
      </c>
      <c r="V24" s="306">
        <f t="shared" si="13"/>
        <v>14000</v>
      </c>
      <c r="W24" s="307" t="s">
        <v>380</v>
      </c>
      <c r="X24" s="308">
        <v>240</v>
      </c>
      <c r="Y24" s="309">
        <f t="shared" si="14"/>
        <v>24000</v>
      </c>
      <c r="Z24" s="310">
        <v>12000</v>
      </c>
      <c r="AA24" s="310">
        <f t="shared" si="15"/>
        <v>36000</v>
      </c>
      <c r="AB24" s="311" t="s">
        <v>360</v>
      </c>
      <c r="AC24" s="312">
        <v>240</v>
      </c>
      <c r="AD24" s="313">
        <f t="shared" si="21"/>
        <v>24000</v>
      </c>
      <c r="AE24" s="314">
        <v>12000</v>
      </c>
      <c r="AF24" s="314">
        <f t="shared" si="16"/>
        <v>36000</v>
      </c>
      <c r="AG24" s="315" t="s">
        <v>360</v>
      </c>
      <c r="AH24" s="425"/>
      <c r="AI24" s="426">
        <f t="shared" si="22"/>
        <v>0</v>
      </c>
      <c r="AJ24" s="427"/>
      <c r="AK24" s="427">
        <f t="shared" si="17"/>
        <v>0</v>
      </c>
      <c r="AL24" s="428"/>
      <c r="AM24" s="316">
        <f t="shared" si="18"/>
        <v>121200</v>
      </c>
    </row>
    <row r="25" spans="2:40" ht="13.5" thickBot="1" x14ac:dyDescent="0.25">
      <c r="B25" s="369"/>
      <c r="C25" s="343" t="s">
        <v>342</v>
      </c>
      <c r="D25" s="344">
        <f>SUM(D19:D24)</f>
        <v>520</v>
      </c>
      <c r="E25" s="345">
        <f>SUM(E19:E24)</f>
        <v>56000</v>
      </c>
      <c r="F25" s="346">
        <f>SUM(F19:F24)</f>
        <v>35000</v>
      </c>
      <c r="G25" s="346">
        <f>SUM(E25:F25)</f>
        <v>91000</v>
      </c>
      <c r="H25" s="413"/>
      <c r="I25" s="347">
        <f t="shared" ref="I25:AM25" si="23">SUM(I19:I24)</f>
        <v>520</v>
      </c>
      <c r="J25" s="348">
        <f t="shared" si="23"/>
        <v>155000</v>
      </c>
      <c r="K25" s="349">
        <f t="shared" si="23"/>
        <v>176800</v>
      </c>
      <c r="L25" s="349">
        <f t="shared" si="23"/>
        <v>331800</v>
      </c>
      <c r="M25" s="370"/>
      <c r="N25" s="351">
        <f t="shared" si="23"/>
        <v>1700</v>
      </c>
      <c r="O25" s="352">
        <f t="shared" si="23"/>
        <v>170000</v>
      </c>
      <c r="P25" s="353">
        <f t="shared" si="23"/>
        <v>197000</v>
      </c>
      <c r="Q25" s="353">
        <f t="shared" si="23"/>
        <v>343200</v>
      </c>
      <c r="R25" s="354"/>
      <c r="S25" s="355">
        <f t="shared" ref="S25:V25" si="24">SUM(S19:S24)</f>
        <v>1700</v>
      </c>
      <c r="T25" s="356">
        <f t="shared" si="24"/>
        <v>473000</v>
      </c>
      <c r="U25" s="357">
        <f t="shared" si="24"/>
        <v>99000</v>
      </c>
      <c r="V25" s="357">
        <f t="shared" si="24"/>
        <v>572000</v>
      </c>
      <c r="W25" s="358"/>
      <c r="X25" s="359">
        <f t="shared" ref="X25:AA25" si="25">SUM(X19:X24)</f>
        <v>1700</v>
      </c>
      <c r="Y25" s="360">
        <f t="shared" si="25"/>
        <v>241000</v>
      </c>
      <c r="Z25" s="361">
        <f t="shared" si="25"/>
        <v>202000</v>
      </c>
      <c r="AA25" s="361">
        <f t="shared" si="25"/>
        <v>443000</v>
      </c>
      <c r="AB25" s="362"/>
      <c r="AC25" s="363">
        <f t="shared" ref="AC25:AF25" si="26">SUM(AC19:AC24)</f>
        <v>1300</v>
      </c>
      <c r="AD25" s="364">
        <f t="shared" si="26"/>
        <v>171000</v>
      </c>
      <c r="AE25" s="365">
        <f t="shared" si="26"/>
        <v>77000</v>
      </c>
      <c r="AF25" s="365">
        <f t="shared" si="26"/>
        <v>248000</v>
      </c>
      <c r="AG25" s="366"/>
      <c r="AH25" s="432">
        <f t="shared" ref="AH25:AK25" si="27">SUM(AH19:AH24)</f>
        <v>980</v>
      </c>
      <c r="AI25" s="433">
        <f t="shared" si="27"/>
        <v>88000</v>
      </c>
      <c r="AJ25" s="434">
        <f t="shared" si="27"/>
        <v>55000</v>
      </c>
      <c r="AK25" s="434">
        <f t="shared" si="27"/>
        <v>143000</v>
      </c>
      <c r="AL25" s="435"/>
      <c r="AM25" s="371">
        <f t="shared" si="23"/>
        <v>1749200</v>
      </c>
      <c r="AN25" s="218"/>
    </row>
    <row r="26" spans="2:40" ht="13.5" thickTop="1" x14ac:dyDescent="0.2">
      <c r="B26" s="265">
        <v>3</v>
      </c>
      <c r="C26" s="266" t="s">
        <v>268</v>
      </c>
      <c r="D26" s="267"/>
      <c r="E26" s="268"/>
      <c r="F26" s="269"/>
      <c r="G26" s="269"/>
      <c r="H26" s="410"/>
      <c r="I26" s="270"/>
      <c r="J26" s="271"/>
      <c r="K26" s="272"/>
      <c r="L26" s="272"/>
      <c r="M26" s="273"/>
      <c r="N26" s="274"/>
      <c r="O26" s="275"/>
      <c r="P26" s="276"/>
      <c r="Q26" s="276"/>
      <c r="R26" s="277"/>
      <c r="S26" s="278"/>
      <c r="T26" s="279"/>
      <c r="U26" s="280"/>
      <c r="V26" s="280"/>
      <c r="W26" s="281"/>
      <c r="X26" s="282"/>
      <c r="Y26" s="283"/>
      <c r="Z26" s="284"/>
      <c r="AA26" s="284"/>
      <c r="AB26" s="285"/>
      <c r="AC26" s="286"/>
      <c r="AD26" s="287"/>
      <c r="AE26" s="288"/>
      <c r="AF26" s="288"/>
      <c r="AG26" s="289"/>
      <c r="AH26" s="421"/>
      <c r="AI26" s="422"/>
      <c r="AJ26" s="423"/>
      <c r="AK26" s="423"/>
      <c r="AL26" s="424"/>
      <c r="AM26" s="290"/>
    </row>
    <row r="27" spans="2:40" ht="63.75" x14ac:dyDescent="0.2">
      <c r="B27" s="291" t="s">
        <v>361</v>
      </c>
      <c r="C27" s="292" t="s">
        <v>362</v>
      </c>
      <c r="D27" s="293">
        <v>800</v>
      </c>
      <c r="E27" s="294">
        <f>+D27*130</f>
        <v>104000</v>
      </c>
      <c r="F27" s="295">
        <v>2000</v>
      </c>
      <c r="G27" s="295">
        <f>+E27+F27</f>
        <v>106000</v>
      </c>
      <c r="H27" s="411" t="s">
        <v>363</v>
      </c>
      <c r="I27" s="296">
        <v>2080</v>
      </c>
      <c r="J27" s="297">
        <v>146000</v>
      </c>
      <c r="K27" s="298">
        <v>4000</v>
      </c>
      <c r="L27" s="298">
        <f>+J27+K27</f>
        <v>150000</v>
      </c>
      <c r="M27" s="299" t="s">
        <v>388</v>
      </c>
      <c r="N27" s="300">
        <v>2080</v>
      </c>
      <c r="O27" s="301">
        <f>N27*72.5</f>
        <v>150800</v>
      </c>
      <c r="P27" s="302">
        <v>4000</v>
      </c>
      <c r="Q27" s="302">
        <f>+O27+P27</f>
        <v>154800</v>
      </c>
      <c r="R27" s="303" t="s">
        <v>383</v>
      </c>
      <c r="S27" s="304">
        <v>2080</v>
      </c>
      <c r="T27" s="305">
        <f>S27*75</f>
        <v>156000</v>
      </c>
      <c r="U27" s="306">
        <v>4000</v>
      </c>
      <c r="V27" s="306">
        <f>+T27+U27</f>
        <v>160000</v>
      </c>
      <c r="W27" s="307" t="s">
        <v>383</v>
      </c>
      <c r="X27" s="308">
        <v>2080</v>
      </c>
      <c r="Y27" s="309">
        <f>X27*77.5</f>
        <v>161200</v>
      </c>
      <c r="Z27" s="310">
        <v>4000</v>
      </c>
      <c r="AA27" s="310">
        <f>+Y27+Z27</f>
        <v>165200</v>
      </c>
      <c r="AB27" s="311" t="s">
        <v>383</v>
      </c>
      <c r="AC27" s="312">
        <v>2080</v>
      </c>
      <c r="AD27" s="313">
        <f>AC27*80</f>
        <v>166400</v>
      </c>
      <c r="AE27" s="314">
        <v>4000</v>
      </c>
      <c r="AF27" s="314">
        <f>+AD27+AE27</f>
        <v>170400</v>
      </c>
      <c r="AG27" s="315" t="s">
        <v>383</v>
      </c>
      <c r="AH27" s="425">
        <v>2080</v>
      </c>
      <c r="AI27" s="426">
        <f>AH27*82.5</f>
        <v>171600</v>
      </c>
      <c r="AJ27" s="427">
        <v>4000</v>
      </c>
      <c r="AK27" s="427">
        <f>+AI27+AJ27</f>
        <v>175600</v>
      </c>
      <c r="AL27" s="428" t="s">
        <v>383</v>
      </c>
      <c r="AM27" s="316">
        <f t="shared" ref="AM27:AM30" si="28">Q27+V27+AA27+AF27+AK27</f>
        <v>826000</v>
      </c>
    </row>
    <row r="28" spans="2:40" x14ac:dyDescent="0.2">
      <c r="B28" s="291" t="s">
        <v>364</v>
      </c>
      <c r="C28" s="292" t="s">
        <v>365</v>
      </c>
      <c r="D28" s="293">
        <v>0</v>
      </c>
      <c r="E28" s="294">
        <v>7000</v>
      </c>
      <c r="F28" s="295">
        <v>500</v>
      </c>
      <c r="G28" s="295">
        <f>+E28+F28</f>
        <v>7500</v>
      </c>
      <c r="H28" s="411"/>
      <c r="I28" s="296">
        <v>80</v>
      </c>
      <c r="J28" s="297">
        <f>I28*175</f>
        <v>14000</v>
      </c>
      <c r="K28" s="298">
        <v>1000</v>
      </c>
      <c r="L28" s="298">
        <f>+J28+K28</f>
        <v>15000</v>
      </c>
      <c r="M28" s="299"/>
      <c r="N28" s="300">
        <v>80</v>
      </c>
      <c r="O28" s="301">
        <f>N28*180</f>
        <v>14400</v>
      </c>
      <c r="P28" s="302">
        <v>1000</v>
      </c>
      <c r="Q28" s="302">
        <f>+O28+P28</f>
        <v>15400</v>
      </c>
      <c r="R28" s="303"/>
      <c r="S28" s="304">
        <v>80</v>
      </c>
      <c r="T28" s="305">
        <f>S28*185</f>
        <v>14800</v>
      </c>
      <c r="U28" s="306">
        <v>1000</v>
      </c>
      <c r="V28" s="306">
        <f>+T28+U28</f>
        <v>15800</v>
      </c>
      <c r="W28" s="307"/>
      <c r="X28" s="308">
        <v>80</v>
      </c>
      <c r="Y28" s="309">
        <f>X28*190</f>
        <v>15200</v>
      </c>
      <c r="Z28" s="310">
        <v>1000</v>
      </c>
      <c r="AA28" s="310">
        <f>+Y28+Z28</f>
        <v>16200</v>
      </c>
      <c r="AB28" s="311"/>
      <c r="AC28" s="312">
        <v>80</v>
      </c>
      <c r="AD28" s="313">
        <f t="shared" ref="AD28:AD30" si="29">AC28*195</f>
        <v>15600</v>
      </c>
      <c r="AE28" s="314">
        <v>1000</v>
      </c>
      <c r="AF28" s="314">
        <f>+AD28+AE28</f>
        <v>16600</v>
      </c>
      <c r="AG28" s="315"/>
      <c r="AH28" s="425">
        <v>80</v>
      </c>
      <c r="AI28" s="426">
        <f t="shared" ref="AI28:AI30" si="30">AH28*200</f>
        <v>16000</v>
      </c>
      <c r="AJ28" s="427">
        <v>1000</v>
      </c>
      <c r="AK28" s="427">
        <f>+AI28+AJ28</f>
        <v>17000</v>
      </c>
      <c r="AL28" s="428"/>
      <c r="AM28" s="316">
        <f t="shared" si="28"/>
        <v>81000</v>
      </c>
    </row>
    <row r="29" spans="2:40" ht="25.5" x14ac:dyDescent="0.2">
      <c r="B29" s="291" t="s">
        <v>366</v>
      </c>
      <c r="C29" s="292" t="s">
        <v>367</v>
      </c>
      <c r="D29" s="293">
        <v>140</v>
      </c>
      <c r="E29" s="294">
        <f>+D29*150</f>
        <v>21000</v>
      </c>
      <c r="F29" s="295">
        <v>1000</v>
      </c>
      <c r="G29" s="295">
        <f t="shared" ref="G29:G30" si="31">+E29+F29</f>
        <v>22000</v>
      </c>
      <c r="H29" s="411" t="s">
        <v>368</v>
      </c>
      <c r="I29" s="296">
        <v>80</v>
      </c>
      <c r="J29" s="297">
        <f>I29*175</f>
        <v>14000</v>
      </c>
      <c r="K29" s="298">
        <v>1500</v>
      </c>
      <c r="L29" s="298">
        <f t="shared" ref="L29:L30" si="32">+J29+K29</f>
        <v>15500</v>
      </c>
      <c r="M29" s="299" t="s">
        <v>382</v>
      </c>
      <c r="N29" s="300">
        <v>80</v>
      </c>
      <c r="O29" s="301">
        <f>N29*180</f>
        <v>14400</v>
      </c>
      <c r="P29" s="302">
        <v>1500</v>
      </c>
      <c r="Q29" s="302">
        <f t="shared" ref="Q29:Q30" si="33">+O29+P29</f>
        <v>15900</v>
      </c>
      <c r="R29" s="303" t="s">
        <v>382</v>
      </c>
      <c r="S29" s="304">
        <v>80</v>
      </c>
      <c r="T29" s="305">
        <f>S29*185</f>
        <v>14800</v>
      </c>
      <c r="U29" s="306">
        <v>1000</v>
      </c>
      <c r="V29" s="306">
        <f t="shared" ref="V29:V30" si="34">+T29+U29</f>
        <v>15800</v>
      </c>
      <c r="W29" s="307" t="s">
        <v>382</v>
      </c>
      <c r="X29" s="308">
        <v>80</v>
      </c>
      <c r="Y29" s="309">
        <f>X29*190</f>
        <v>15200</v>
      </c>
      <c r="Z29" s="310">
        <v>1000</v>
      </c>
      <c r="AA29" s="310">
        <f t="shared" ref="AA29:AA30" si="35">+Y29+Z29</f>
        <v>16200</v>
      </c>
      <c r="AB29" s="311" t="s">
        <v>382</v>
      </c>
      <c r="AC29" s="312">
        <v>80</v>
      </c>
      <c r="AD29" s="313">
        <f t="shared" si="29"/>
        <v>15600</v>
      </c>
      <c r="AE29" s="314">
        <v>200</v>
      </c>
      <c r="AF29" s="314">
        <f t="shared" ref="AF29:AF30" si="36">+AD29+AE29</f>
        <v>15800</v>
      </c>
      <c r="AG29" s="315" t="s">
        <v>382</v>
      </c>
      <c r="AH29" s="425">
        <v>80</v>
      </c>
      <c r="AI29" s="426">
        <f>AH29*200</f>
        <v>16000</v>
      </c>
      <c r="AJ29" s="427">
        <v>200</v>
      </c>
      <c r="AK29" s="427">
        <f t="shared" ref="AK29:AK30" si="37">+AI29+AJ29</f>
        <v>16200</v>
      </c>
      <c r="AL29" s="428" t="s">
        <v>382</v>
      </c>
      <c r="AM29" s="316">
        <f t="shared" si="28"/>
        <v>79900</v>
      </c>
    </row>
    <row r="30" spans="2:40" ht="38.25" x14ac:dyDescent="0.2">
      <c r="B30" s="291" t="s">
        <v>369</v>
      </c>
      <c r="C30" s="292" t="s">
        <v>334</v>
      </c>
      <c r="D30" s="293">
        <v>140</v>
      </c>
      <c r="E30" s="294">
        <f>+D30*130</f>
        <v>18200</v>
      </c>
      <c r="F30" s="295"/>
      <c r="G30" s="295">
        <f t="shared" si="31"/>
        <v>18200</v>
      </c>
      <c r="H30" s="411" t="s">
        <v>378</v>
      </c>
      <c r="I30" s="296">
        <v>80</v>
      </c>
      <c r="J30" s="297">
        <f>I30*175</f>
        <v>14000</v>
      </c>
      <c r="K30" s="298">
        <f>1500+3600</f>
        <v>5100</v>
      </c>
      <c r="L30" s="298">
        <f t="shared" si="32"/>
        <v>19100</v>
      </c>
      <c r="M30" s="299" t="s">
        <v>381</v>
      </c>
      <c r="N30" s="300">
        <v>240</v>
      </c>
      <c r="O30" s="301">
        <f>N30*180</f>
        <v>43200</v>
      </c>
      <c r="P30" s="302">
        <v>1000</v>
      </c>
      <c r="Q30" s="302">
        <f t="shared" si="33"/>
        <v>44200</v>
      </c>
      <c r="R30" s="303" t="s">
        <v>381</v>
      </c>
      <c r="S30" s="304">
        <v>240</v>
      </c>
      <c r="T30" s="305">
        <f>S30*185</f>
        <v>44400</v>
      </c>
      <c r="U30" s="306">
        <v>1000</v>
      </c>
      <c r="V30" s="306">
        <f t="shared" si="34"/>
        <v>45400</v>
      </c>
      <c r="W30" s="307" t="s">
        <v>381</v>
      </c>
      <c r="X30" s="308">
        <v>240</v>
      </c>
      <c r="Y30" s="309">
        <f>X30*190</f>
        <v>45600</v>
      </c>
      <c r="Z30" s="310">
        <v>1000</v>
      </c>
      <c r="AA30" s="310">
        <f t="shared" si="35"/>
        <v>46600</v>
      </c>
      <c r="AB30" s="311" t="s">
        <v>381</v>
      </c>
      <c r="AC30" s="312">
        <v>240</v>
      </c>
      <c r="AD30" s="313">
        <f t="shared" si="29"/>
        <v>46800</v>
      </c>
      <c r="AE30" s="314">
        <v>200</v>
      </c>
      <c r="AF30" s="314">
        <f t="shared" si="36"/>
        <v>47000</v>
      </c>
      <c r="AG30" s="315" t="s">
        <v>381</v>
      </c>
      <c r="AH30" s="425">
        <v>240</v>
      </c>
      <c r="AI30" s="426">
        <f t="shared" si="30"/>
        <v>48000</v>
      </c>
      <c r="AJ30" s="427">
        <v>200</v>
      </c>
      <c r="AK30" s="427">
        <f t="shared" si="37"/>
        <v>48200</v>
      </c>
      <c r="AL30" s="428" t="s">
        <v>381</v>
      </c>
      <c r="AM30" s="316">
        <f t="shared" si="28"/>
        <v>231400</v>
      </c>
    </row>
    <row r="31" spans="2:40" ht="13.5" thickBot="1" x14ac:dyDescent="0.25">
      <c r="B31" s="369"/>
      <c r="C31" s="343" t="s">
        <v>342</v>
      </c>
      <c r="D31" s="344">
        <f t="shared" ref="D31:AM31" si="38">SUM(D27:D30)</f>
        <v>1080</v>
      </c>
      <c r="E31" s="345">
        <f t="shared" si="38"/>
        <v>150200</v>
      </c>
      <c r="F31" s="346">
        <f t="shared" si="38"/>
        <v>3500</v>
      </c>
      <c r="G31" s="346">
        <f t="shared" si="38"/>
        <v>153700</v>
      </c>
      <c r="H31" s="413"/>
      <c r="I31" s="347">
        <f t="shared" si="38"/>
        <v>2320</v>
      </c>
      <c r="J31" s="372">
        <f t="shared" si="38"/>
        <v>188000</v>
      </c>
      <c r="K31" s="349">
        <f t="shared" si="38"/>
        <v>11600</v>
      </c>
      <c r="L31" s="349">
        <f t="shared" si="38"/>
        <v>199600</v>
      </c>
      <c r="M31" s="370"/>
      <c r="N31" s="351">
        <f t="shared" si="38"/>
        <v>2480</v>
      </c>
      <c r="O31" s="373">
        <f t="shared" si="38"/>
        <v>222800</v>
      </c>
      <c r="P31" s="353">
        <f t="shared" si="38"/>
        <v>7500</v>
      </c>
      <c r="Q31" s="353">
        <f t="shared" si="38"/>
        <v>230300</v>
      </c>
      <c r="R31" s="354"/>
      <c r="S31" s="355">
        <f t="shared" ref="S31:V31" si="39">SUM(S27:S30)</f>
        <v>2480</v>
      </c>
      <c r="T31" s="374">
        <f t="shared" si="39"/>
        <v>230000</v>
      </c>
      <c r="U31" s="357">
        <f t="shared" si="39"/>
        <v>7000</v>
      </c>
      <c r="V31" s="357">
        <f t="shared" si="39"/>
        <v>237000</v>
      </c>
      <c r="W31" s="358"/>
      <c r="X31" s="359">
        <f t="shared" ref="X31:AA31" si="40">SUM(X27:X30)</f>
        <v>2480</v>
      </c>
      <c r="Y31" s="375">
        <f t="shared" si="40"/>
        <v>237200</v>
      </c>
      <c r="Z31" s="361">
        <f t="shared" si="40"/>
        <v>7000</v>
      </c>
      <c r="AA31" s="361">
        <f t="shared" si="40"/>
        <v>244200</v>
      </c>
      <c r="AB31" s="362"/>
      <c r="AC31" s="363">
        <f t="shared" ref="AC31:AF31" si="41">SUM(AC27:AC30)</f>
        <v>2480</v>
      </c>
      <c r="AD31" s="376">
        <f t="shared" si="41"/>
        <v>244400</v>
      </c>
      <c r="AE31" s="365">
        <f t="shared" si="41"/>
        <v>5400</v>
      </c>
      <c r="AF31" s="365">
        <f t="shared" si="41"/>
        <v>249800</v>
      </c>
      <c r="AG31" s="366"/>
      <c r="AH31" s="432">
        <f t="shared" ref="AH31:AK31" si="42">SUM(AH27:AH30)</f>
        <v>2480</v>
      </c>
      <c r="AI31" s="436">
        <f t="shared" si="42"/>
        <v>251600</v>
      </c>
      <c r="AJ31" s="434">
        <f t="shared" si="42"/>
        <v>5400</v>
      </c>
      <c r="AK31" s="434">
        <f t="shared" si="42"/>
        <v>257000</v>
      </c>
      <c r="AL31" s="435"/>
      <c r="AM31" s="371">
        <f t="shared" si="38"/>
        <v>1218300</v>
      </c>
      <c r="AN31" s="218"/>
    </row>
    <row r="32" spans="2:40" ht="14.25" thickTop="1" thickBot="1" x14ac:dyDescent="0.25">
      <c r="B32" s="239"/>
      <c r="C32" s="377"/>
      <c r="D32" s="378"/>
      <c r="E32" s="379"/>
      <c r="F32" s="379"/>
      <c r="G32" s="379"/>
      <c r="H32" s="379"/>
      <c r="I32" s="379"/>
      <c r="J32" s="379"/>
      <c r="K32" s="379"/>
      <c r="L32" s="379"/>
      <c r="M32" s="379"/>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79"/>
      <c r="AN32" s="236"/>
    </row>
    <row r="33" spans="2:40" ht="14.25" thickTop="1" thickBot="1" x14ac:dyDescent="0.25">
      <c r="B33" s="239"/>
      <c r="C33" s="381" t="s">
        <v>370</v>
      </c>
      <c r="D33" s="382">
        <f t="shared" ref="D33:AM33" si="43">+D17+D25+D31</f>
        <v>4300</v>
      </c>
      <c r="E33" s="383">
        <f t="shared" si="43"/>
        <v>546000</v>
      </c>
      <c r="F33" s="384">
        <f t="shared" si="43"/>
        <v>454000</v>
      </c>
      <c r="G33" s="385">
        <f t="shared" si="43"/>
        <v>1000000</v>
      </c>
      <c r="H33" s="386"/>
      <c r="I33" s="387">
        <f t="shared" si="43"/>
        <v>3440</v>
      </c>
      <c r="J33" s="388">
        <f t="shared" si="43"/>
        <v>2174000</v>
      </c>
      <c r="K33" s="388">
        <f t="shared" si="43"/>
        <v>231900</v>
      </c>
      <c r="L33" s="389">
        <f t="shared" si="43"/>
        <v>2405900</v>
      </c>
      <c r="M33" s="386"/>
      <c r="N33" s="390">
        <f t="shared" si="43"/>
        <v>4800</v>
      </c>
      <c r="O33" s="391">
        <f t="shared" si="43"/>
        <v>5625400</v>
      </c>
      <c r="P33" s="391">
        <f t="shared" si="43"/>
        <v>258900</v>
      </c>
      <c r="Q33" s="392">
        <f t="shared" si="43"/>
        <v>5860500</v>
      </c>
      <c r="R33" s="386"/>
      <c r="S33" s="393">
        <f t="shared" ref="S33:V33" si="44">+S17+S25+S31</f>
        <v>4800</v>
      </c>
      <c r="T33" s="394">
        <f t="shared" si="44"/>
        <v>32545700</v>
      </c>
      <c r="U33" s="394">
        <f t="shared" si="44"/>
        <v>183800</v>
      </c>
      <c r="V33" s="395">
        <f t="shared" si="44"/>
        <v>32729500</v>
      </c>
      <c r="W33" s="386"/>
      <c r="X33" s="396">
        <f t="shared" ref="X33:AA33" si="45">+X17+X25+X31</f>
        <v>4400</v>
      </c>
      <c r="Y33" s="397">
        <f t="shared" si="45"/>
        <v>2933000</v>
      </c>
      <c r="Z33" s="397">
        <f t="shared" si="45"/>
        <v>1157200</v>
      </c>
      <c r="AA33" s="398">
        <f t="shared" si="45"/>
        <v>4090200</v>
      </c>
      <c r="AB33" s="386"/>
      <c r="AC33" s="399">
        <f t="shared" ref="AC33:AF33" si="46">+AC17+AC25+AC31</f>
        <v>4000</v>
      </c>
      <c r="AD33" s="400">
        <f t="shared" si="46"/>
        <v>8942300</v>
      </c>
      <c r="AE33" s="400">
        <f t="shared" si="46"/>
        <v>986000</v>
      </c>
      <c r="AF33" s="401">
        <f t="shared" si="46"/>
        <v>9928300</v>
      </c>
      <c r="AG33" s="386"/>
      <c r="AH33" s="399">
        <f t="shared" ref="AH33:AK33" si="47">+AH17+AH25+AH31</f>
        <v>3680</v>
      </c>
      <c r="AI33" s="400">
        <f t="shared" si="47"/>
        <v>9700300</v>
      </c>
      <c r="AJ33" s="400">
        <f t="shared" si="47"/>
        <v>980700</v>
      </c>
      <c r="AK33" s="401">
        <f t="shared" si="47"/>
        <v>10681000</v>
      </c>
      <c r="AL33" s="386"/>
      <c r="AM33" s="402">
        <f t="shared" si="43"/>
        <v>59195200</v>
      </c>
      <c r="AN33" s="236"/>
    </row>
    <row r="34" spans="2:40" ht="13.5" thickTop="1" x14ac:dyDescent="0.2">
      <c r="G34" s="218"/>
      <c r="H34" s="218"/>
      <c r="AM34" s="218"/>
      <c r="AN34" s="218"/>
    </row>
    <row r="35" spans="2:40" x14ac:dyDescent="0.2">
      <c r="AM35" s="218"/>
    </row>
    <row r="37" spans="2:40" x14ac:dyDescent="0.2">
      <c r="L37" s="218"/>
    </row>
    <row r="38" spans="2:40" x14ac:dyDescent="0.2">
      <c r="L38" s="218"/>
    </row>
  </sheetData>
  <sheetProtection password="E40A" sheet="1" objects="1" scenarios="1"/>
  <mergeCells count="13">
    <mergeCell ref="B2:AM2"/>
    <mergeCell ref="B3:AM3"/>
    <mergeCell ref="B4:AM4"/>
    <mergeCell ref="D6:H6"/>
    <mergeCell ref="N6:R6"/>
    <mergeCell ref="S6:W6"/>
    <mergeCell ref="X6:AB6"/>
    <mergeCell ref="AC6:AG6"/>
    <mergeCell ref="AM6:AM7"/>
    <mergeCell ref="C6:C7"/>
    <mergeCell ref="B6:B7"/>
    <mergeCell ref="I6:M6"/>
    <mergeCell ref="AH6:AL6"/>
  </mergeCells>
  <printOptions horizontalCentered="1"/>
  <pageMargins left="0.25" right="0.25" top="0.75" bottom="0.75" header="0.3" footer="0.3"/>
  <pageSetup paperSize="17" scale="63" fitToWidth="2" orientation="landscape" r:id="rId1"/>
  <headerFooter>
    <oddFooter>&amp;LAECOM Technical Services, Inc.
Pocasset, MA&amp;RPage &amp;P of &amp;N
Revised: March 18, 2016</oddFooter>
  </headerFooter>
  <colBreaks count="1" manualBreakCount="1">
    <brk id="23"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S140"/>
  <sheetViews>
    <sheetView zoomScaleNormal="100" zoomScaleSheetLayoutView="75"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545</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25000</v>
      </c>
      <c r="F9" s="64">
        <f>+MROUND(C9*E9,100)</f>
        <v>25000</v>
      </c>
      <c r="G9" s="77" t="str">
        <f>CONCATENATE(Assumptions!C9*100,"%"," ","of Other Items")</f>
        <v>5% of Other Items</v>
      </c>
      <c r="S9" s="147"/>
    </row>
    <row r="10" spans="2:19" x14ac:dyDescent="0.2">
      <c r="B10" s="50" t="s">
        <v>33</v>
      </c>
      <c r="C10" s="51">
        <v>1</v>
      </c>
      <c r="D10" s="55" t="s">
        <v>31</v>
      </c>
      <c r="E10" s="56">
        <v>500000</v>
      </c>
      <c r="F10" s="54">
        <f t="shared" ref="F10:F22" si="0">+MROUND(C10*E10,100)</f>
        <v>500000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525000</v>
      </c>
      <c r="G24" s="98"/>
    </row>
    <row r="25" spans="2:19" x14ac:dyDescent="0.2">
      <c r="B25" s="72"/>
      <c r="D25" s="91" t="str">
        <f>Assumptions!B10</f>
        <v>Overhead and Profit</v>
      </c>
      <c r="E25" s="95">
        <f>Assumptions!C10</f>
        <v>0.22</v>
      </c>
      <c r="F25" s="67">
        <f>+MROUND(F24*E25,100)</f>
        <v>115500</v>
      </c>
      <c r="G25" s="77"/>
    </row>
    <row r="26" spans="2:19" x14ac:dyDescent="0.2">
      <c r="B26" s="72"/>
      <c r="D26" s="91" t="s">
        <v>3</v>
      </c>
      <c r="E26" s="66"/>
      <c r="F26" s="92">
        <f>F25+F24</f>
        <v>640500</v>
      </c>
      <c r="G26" s="77"/>
    </row>
    <row r="27" spans="2:19" x14ac:dyDescent="0.2">
      <c r="B27" s="72"/>
      <c r="D27" s="91" t="str">
        <f>Assumptions!B11</f>
        <v>Contingency</v>
      </c>
      <c r="E27" s="96">
        <f>Assumptions!C11</f>
        <v>0.25</v>
      </c>
      <c r="F27" s="64">
        <f>+MROUND((F26)*E27,100)</f>
        <v>160100</v>
      </c>
      <c r="G27" s="77"/>
    </row>
    <row r="28" spans="2:19" x14ac:dyDescent="0.2">
      <c r="B28" s="72"/>
      <c r="D28" s="91" t="s">
        <v>36</v>
      </c>
      <c r="E28" s="96"/>
      <c r="F28" s="93">
        <f>SUM(F26:F27)</f>
        <v>800600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40000</v>
      </c>
      <c r="G30" s="77"/>
    </row>
    <row r="31" spans="2:19" x14ac:dyDescent="0.2">
      <c r="B31" s="72"/>
      <c r="D31" s="91" t="str">
        <f>Assumptions!B14</f>
        <v>Engineering - Planning/Consultation</v>
      </c>
      <c r="E31" s="96">
        <f>Assumptions!C14</f>
        <v>0.05</v>
      </c>
      <c r="F31" s="64">
        <f t="shared" ref="F31:F33" si="2">+MROUND($F$28*E31,100)</f>
        <v>40000</v>
      </c>
      <c r="G31" s="77"/>
    </row>
    <row r="32" spans="2:19" x14ac:dyDescent="0.2">
      <c r="B32" s="72"/>
      <c r="D32" s="91" t="str">
        <f>Assumptions!B15</f>
        <v>Engineering - Design</v>
      </c>
      <c r="E32" s="96">
        <f>Assumptions!C15</f>
        <v>0.1</v>
      </c>
      <c r="F32" s="64">
        <f t="shared" si="2"/>
        <v>80100</v>
      </c>
      <c r="G32" s="77"/>
    </row>
    <row r="33" spans="2:7" x14ac:dyDescent="0.2">
      <c r="B33" s="72"/>
      <c r="D33" s="91" t="str">
        <f>Assumptions!B16</f>
        <v>Engineering - Construction</v>
      </c>
      <c r="E33" s="96">
        <f>Assumptions!C16</f>
        <v>0.15</v>
      </c>
      <c r="F33" s="64">
        <f t="shared" si="2"/>
        <v>120100</v>
      </c>
      <c r="G33" s="77"/>
    </row>
    <row r="34" spans="2:7" x14ac:dyDescent="0.2">
      <c r="B34" s="32"/>
      <c r="C34" s="63"/>
      <c r="D34" s="94" t="s">
        <v>19</v>
      </c>
      <c r="E34" s="68"/>
      <c r="F34" s="124">
        <f>SUM(F28:F33)</f>
        <v>1080800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Aquaculture/Shellfish Propagation - Full Scale Location TBD</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33</v>
      </c>
      <c r="C45" s="51">
        <v>1</v>
      </c>
      <c r="D45" s="55" t="s">
        <v>31</v>
      </c>
      <c r="E45" s="56">
        <v>50000</v>
      </c>
      <c r="F45" s="54">
        <f>+MROUND(C45*E45,100)</f>
        <v>50000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50000</v>
      </c>
      <c r="G55" s="98"/>
    </row>
    <row r="56" spans="2:7" x14ac:dyDescent="0.2">
      <c r="B56" s="72"/>
      <c r="D56" s="91" t="str">
        <f>Assumptions!B21</f>
        <v>Contingency</v>
      </c>
      <c r="E56" s="95">
        <f>Assumptions!C21</f>
        <v>0.1</v>
      </c>
      <c r="F56" s="64">
        <f>+MROUND((F55)*E56,100)</f>
        <v>5000</v>
      </c>
      <c r="G56" s="77"/>
    </row>
    <row r="57" spans="2:7" x14ac:dyDescent="0.2">
      <c r="B57" s="72"/>
      <c r="D57" s="91" t="s">
        <v>3</v>
      </c>
      <c r="E57" s="66"/>
      <c r="F57" s="93">
        <f>SUM(F55:F56)</f>
        <v>55000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1700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56700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Aquaculture/Shellfish Propagation - Full Scale Location TBD</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3750</v>
      </c>
      <c r="F74" s="111">
        <f>+MROUND(C74*E74,100)</f>
        <v>3800</v>
      </c>
      <c r="G74" s="112" t="str">
        <f>CONCATENATE(Assumptions!C33*100,"%"," ","of Other Items")</f>
        <v>5% of Other Items</v>
      </c>
    </row>
    <row r="75" spans="2:7" x14ac:dyDescent="0.2">
      <c r="B75" s="50" t="s">
        <v>33</v>
      </c>
      <c r="C75" s="51">
        <v>1</v>
      </c>
      <c r="D75" s="55" t="s">
        <v>31</v>
      </c>
      <c r="E75" s="56">
        <v>75000</v>
      </c>
      <c r="F75" s="54">
        <f t="shared" ref="F75:F83" si="4">+MROUND(C75*E75,100)</f>
        <v>75000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78800</v>
      </c>
      <c r="G84" s="98"/>
    </row>
    <row r="85" spans="2:7" x14ac:dyDescent="0.2">
      <c r="B85" s="72"/>
      <c r="D85" s="91" t="str">
        <f>Assumptions!B34</f>
        <v>Overhead and Profit</v>
      </c>
      <c r="E85" s="95">
        <f>Assumptions!C34</f>
        <v>0.22</v>
      </c>
      <c r="F85" s="67">
        <f>+MROUND(F84*E85,100)</f>
        <v>17300</v>
      </c>
      <c r="G85" s="77"/>
    </row>
    <row r="86" spans="2:7" x14ac:dyDescent="0.2">
      <c r="B86" s="72"/>
      <c r="D86" s="91" t="s">
        <v>3</v>
      </c>
      <c r="E86" s="66"/>
      <c r="F86" s="92">
        <f>F85+F84</f>
        <v>96100</v>
      </c>
      <c r="G86" s="77"/>
    </row>
    <row r="87" spans="2:7" x14ac:dyDescent="0.2">
      <c r="B87" s="72"/>
      <c r="D87" s="91" t="str">
        <f>Assumptions!B35</f>
        <v>Contingency</v>
      </c>
      <c r="E87" s="96">
        <f>Assumptions!C35</f>
        <v>0.3</v>
      </c>
      <c r="F87" s="64">
        <f>+MROUND((F86)*E87,100)</f>
        <v>28800</v>
      </c>
      <c r="G87" s="77"/>
    </row>
    <row r="88" spans="2:7" x14ac:dyDescent="0.2">
      <c r="B88" s="72"/>
      <c r="D88" s="91" t="s">
        <v>36</v>
      </c>
      <c r="E88" s="66"/>
      <c r="F88" s="93">
        <f>SUM(F86:F87)</f>
        <v>124900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3700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12500</v>
      </c>
      <c r="G92" s="77"/>
    </row>
    <row r="93" spans="2:7" x14ac:dyDescent="0.2">
      <c r="B93" s="72"/>
      <c r="D93" s="91" t="str">
        <f>Assumptions!B40</f>
        <v>Engineering - Construction</v>
      </c>
      <c r="E93" s="96">
        <f>Assumptions!C40</f>
        <v>0.15</v>
      </c>
      <c r="F93" s="64">
        <f>+MROUND($F$88*E93,100)</f>
        <v>18700</v>
      </c>
      <c r="G93" s="77"/>
    </row>
    <row r="94" spans="2:7" x14ac:dyDescent="0.2">
      <c r="B94" s="32"/>
      <c r="C94" s="63"/>
      <c r="D94" s="94" t="s">
        <v>58</v>
      </c>
      <c r="E94" s="68"/>
      <c r="F94" s="124">
        <f>SUM(F88:F93)</f>
        <v>159800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Aquaculture/Shellfish Propagation - Full Scale Location TBD</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33</v>
      </c>
      <c r="C105" s="51">
        <v>1</v>
      </c>
      <c r="D105" s="55" t="s">
        <v>31</v>
      </c>
      <c r="E105" s="56">
        <v>50000</v>
      </c>
      <c r="F105" s="54">
        <f>+MROUND(C105*E105,100)</f>
        <v>50000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50000</v>
      </c>
      <c r="G115" s="98"/>
    </row>
    <row r="116" spans="2:7" x14ac:dyDescent="0.2">
      <c r="B116" s="72"/>
      <c r="D116" s="91" t="str">
        <f>Assumptions!B45</f>
        <v>Contingency</v>
      </c>
      <c r="E116" s="95">
        <f>Assumptions!C45</f>
        <v>0.1</v>
      </c>
      <c r="F116" s="64">
        <f>+MROUND((F115)*E116,100)</f>
        <v>5000</v>
      </c>
      <c r="G116" s="77"/>
    </row>
    <row r="117" spans="2:7" x14ac:dyDescent="0.2">
      <c r="B117" s="72"/>
      <c r="D117" s="91" t="s">
        <v>3</v>
      </c>
      <c r="E117" s="66"/>
      <c r="F117" s="93">
        <f>SUM(F115:F116)</f>
        <v>55000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2800</v>
      </c>
      <c r="G119" s="77"/>
    </row>
    <row r="120" spans="2:7" x14ac:dyDescent="0.2">
      <c r="B120" s="72"/>
      <c r="D120" s="91" t="str">
        <f>Assumptions!B48</f>
        <v>Engineering - Planning/Consultation</v>
      </c>
      <c r="E120" s="96">
        <f>Assumptions!C48</f>
        <v>0.03</v>
      </c>
      <c r="F120" s="64">
        <f>+MROUND($F$117*E120,100)</f>
        <v>1700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59500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D75:D83 D105:D114 D10:D23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514</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49" t="s">
        <v>11</v>
      </c>
      <c r="C10" s="197">
        <v>0</v>
      </c>
      <c r="D10" s="55" t="s">
        <v>11</v>
      </c>
      <c r="E10" s="198">
        <v>0</v>
      </c>
      <c r="F10" s="54">
        <f t="shared" ref="F10:F22" si="0">+MROUND(C10*E10,100)</f>
        <v>0</v>
      </c>
      <c r="G10" s="552" t="s">
        <v>11</v>
      </c>
      <c r="S10" s="147"/>
    </row>
    <row r="11" spans="2:19" x14ac:dyDescent="0.2">
      <c r="B11" s="549" t="s">
        <v>11</v>
      </c>
      <c r="C11" s="197">
        <v>0</v>
      </c>
      <c r="D11" s="55" t="s">
        <v>11</v>
      </c>
      <c r="E11" s="198">
        <v>0</v>
      </c>
      <c r="F11" s="54">
        <f t="shared" si="0"/>
        <v>0</v>
      </c>
      <c r="G11" s="552" t="s">
        <v>11</v>
      </c>
      <c r="S11" s="147"/>
    </row>
    <row r="12" spans="2:19" x14ac:dyDescent="0.2">
      <c r="B12" s="549" t="s">
        <v>11</v>
      </c>
      <c r="C12" s="197">
        <v>0</v>
      </c>
      <c r="D12" s="55" t="s">
        <v>11</v>
      </c>
      <c r="E12" s="198">
        <v>0</v>
      </c>
      <c r="F12" s="54">
        <f t="shared" si="0"/>
        <v>0</v>
      </c>
      <c r="G12" s="552" t="s">
        <v>11</v>
      </c>
      <c r="S12" s="147"/>
    </row>
    <row r="13" spans="2:19" x14ac:dyDescent="0.2">
      <c r="B13" s="549" t="s">
        <v>11</v>
      </c>
      <c r="C13" s="197">
        <v>0</v>
      </c>
      <c r="D13" s="55" t="s">
        <v>11</v>
      </c>
      <c r="E13" s="198">
        <v>0</v>
      </c>
      <c r="F13" s="54">
        <f t="shared" ref="F13:F17" si="1">+MROUND(C13*E13,100)</f>
        <v>0</v>
      </c>
      <c r="G13" s="552" t="s">
        <v>11</v>
      </c>
      <c r="S13" s="147"/>
    </row>
    <row r="14" spans="2:19" x14ac:dyDescent="0.2">
      <c r="B14" s="549" t="s">
        <v>11</v>
      </c>
      <c r="C14" s="197">
        <v>0</v>
      </c>
      <c r="D14" s="55" t="s">
        <v>11</v>
      </c>
      <c r="E14" s="198">
        <v>0</v>
      </c>
      <c r="F14" s="54">
        <f t="shared" si="1"/>
        <v>0</v>
      </c>
      <c r="G14" s="552" t="s">
        <v>11</v>
      </c>
      <c r="S14" s="147"/>
    </row>
    <row r="15" spans="2:19" x14ac:dyDescent="0.2">
      <c r="B15" s="549" t="s">
        <v>11</v>
      </c>
      <c r="C15" s="197">
        <v>0</v>
      </c>
      <c r="D15" s="55" t="s">
        <v>11</v>
      </c>
      <c r="E15" s="198">
        <v>0</v>
      </c>
      <c r="F15" s="54">
        <f t="shared" si="1"/>
        <v>0</v>
      </c>
      <c r="G15" s="552" t="s">
        <v>11</v>
      </c>
      <c r="S15" s="147"/>
    </row>
    <row r="16" spans="2:19" x14ac:dyDescent="0.2">
      <c r="B16" s="549" t="s">
        <v>11</v>
      </c>
      <c r="C16" s="197">
        <v>0</v>
      </c>
      <c r="D16" s="55" t="s">
        <v>11</v>
      </c>
      <c r="E16" s="198">
        <v>0</v>
      </c>
      <c r="F16" s="54">
        <f t="shared" si="1"/>
        <v>0</v>
      </c>
      <c r="G16" s="552" t="s">
        <v>11</v>
      </c>
      <c r="S16" s="147"/>
    </row>
    <row r="17" spans="2:19" x14ac:dyDescent="0.2">
      <c r="B17" s="549" t="s">
        <v>11</v>
      </c>
      <c r="C17" s="197">
        <v>0</v>
      </c>
      <c r="D17" s="55" t="s">
        <v>11</v>
      </c>
      <c r="E17" s="198">
        <v>0</v>
      </c>
      <c r="F17" s="54">
        <f t="shared" si="1"/>
        <v>0</v>
      </c>
      <c r="G17" s="552" t="s">
        <v>11</v>
      </c>
      <c r="S17" s="147"/>
    </row>
    <row r="18" spans="2:19" x14ac:dyDescent="0.2">
      <c r="B18" s="549" t="s">
        <v>11</v>
      </c>
      <c r="C18" s="197">
        <v>0</v>
      </c>
      <c r="D18" s="55" t="s">
        <v>11</v>
      </c>
      <c r="E18" s="198">
        <v>0</v>
      </c>
      <c r="F18" s="54">
        <f t="shared" si="0"/>
        <v>0</v>
      </c>
      <c r="G18" s="99" t="s">
        <v>11</v>
      </c>
      <c r="S18" s="147"/>
    </row>
    <row r="19" spans="2:19" x14ac:dyDescent="0.2">
      <c r="B19" s="50" t="s">
        <v>11</v>
      </c>
      <c r="C19" s="51">
        <v>0</v>
      </c>
      <c r="D19" s="55" t="s">
        <v>11</v>
      </c>
      <c r="E19" s="56">
        <v>0</v>
      </c>
      <c r="F19" s="54">
        <f t="shared" si="0"/>
        <v>0</v>
      </c>
      <c r="G19" s="99" t="s">
        <v>11</v>
      </c>
      <c r="S19" s="147"/>
    </row>
    <row r="20" spans="2:19" x14ac:dyDescent="0.2">
      <c r="B20" s="50" t="s">
        <v>11</v>
      </c>
      <c r="C20" s="51">
        <v>0</v>
      </c>
      <c r="D20" s="55" t="s">
        <v>11</v>
      </c>
      <c r="E20" s="56">
        <v>0</v>
      </c>
      <c r="F20" s="54">
        <f t="shared" si="0"/>
        <v>0</v>
      </c>
      <c r="G20" s="99" t="s">
        <v>11</v>
      </c>
      <c r="S20" s="147"/>
    </row>
    <row r="21" spans="2:19" x14ac:dyDescent="0.2">
      <c r="B21" s="50" t="s">
        <v>11</v>
      </c>
      <c r="C21" s="51">
        <v>0</v>
      </c>
      <c r="D21" s="55" t="s">
        <v>11</v>
      </c>
      <c r="E21" s="56">
        <v>0</v>
      </c>
      <c r="F21" s="54">
        <f t="shared" si="0"/>
        <v>0</v>
      </c>
      <c r="G21" s="99" t="s">
        <v>11</v>
      </c>
      <c r="S21" s="147"/>
    </row>
    <row r="22" spans="2:19" x14ac:dyDescent="0.2">
      <c r="B22" s="50" t="s">
        <v>11</v>
      </c>
      <c r="C22" s="51">
        <v>0</v>
      </c>
      <c r="D22" s="55" t="s">
        <v>11</v>
      </c>
      <c r="E22" s="56">
        <v>0</v>
      </c>
      <c r="F22" s="54">
        <f t="shared" si="0"/>
        <v>0</v>
      </c>
      <c r="G22" s="99" t="s">
        <v>11</v>
      </c>
      <c r="S22" s="147"/>
    </row>
    <row r="23" spans="2:19" x14ac:dyDescent="0.2">
      <c r="B23" s="50" t="s">
        <v>11</v>
      </c>
      <c r="C23" s="51">
        <v>0</v>
      </c>
      <c r="D23" s="55" t="s">
        <v>11</v>
      </c>
      <c r="E23" s="56">
        <v>0</v>
      </c>
      <c r="F23" s="54">
        <f t="shared" ref="F23" si="2">+MROUND(C23*E23,1000)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v>50000</v>
      </c>
      <c r="G31" s="77"/>
    </row>
    <row r="32" spans="2:19" x14ac:dyDescent="0.2">
      <c r="B32" s="72"/>
      <c r="D32" s="91" t="str">
        <f>Assumptions!B15</f>
        <v>Engineering - Design</v>
      </c>
      <c r="E32" s="96">
        <f>Assumptions!C15</f>
        <v>0.1</v>
      </c>
      <c r="F32" s="64">
        <f t="shared" ref="F32:F33" si="3">+MROUND($F$28*E32,100)</f>
        <v>0</v>
      </c>
      <c r="G32" s="77"/>
    </row>
    <row r="33" spans="2:7" x14ac:dyDescent="0.2">
      <c r="B33" s="72"/>
      <c r="D33" s="91" t="str">
        <f>Assumptions!B16</f>
        <v>Engineering - Construction</v>
      </c>
      <c r="E33" s="96">
        <f>Assumptions!C16</f>
        <v>0.15</v>
      </c>
      <c r="F33" s="64">
        <f t="shared" si="3"/>
        <v>0</v>
      </c>
      <c r="G33" s="77"/>
    </row>
    <row r="34" spans="2:7" x14ac:dyDescent="0.2">
      <c r="B34" s="32"/>
      <c r="C34" s="63"/>
      <c r="D34" s="94" t="s">
        <v>19</v>
      </c>
      <c r="E34" s="68"/>
      <c r="F34" s="124">
        <f>SUM(F28:F33)</f>
        <v>50000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Floating Constructed Wetlands - Demonstration 1 - Data Refinement</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t="s">
        <v>11</v>
      </c>
      <c r="E45" s="56">
        <v>0</v>
      </c>
      <c r="F45" s="54">
        <f>+MROUND(C45*E45,100)</f>
        <v>0</v>
      </c>
      <c r="G45" s="552" t="s">
        <v>11</v>
      </c>
    </row>
    <row r="46" spans="2:7" x14ac:dyDescent="0.2">
      <c r="B46" s="50" t="s">
        <v>11</v>
      </c>
      <c r="C46" s="51">
        <v>0</v>
      </c>
      <c r="D46" s="55" t="s">
        <v>11</v>
      </c>
      <c r="E46" s="56">
        <v>0</v>
      </c>
      <c r="F46" s="54">
        <f t="shared" ref="F46:F54" si="4">+MROUND(C46*E46,100)</f>
        <v>0</v>
      </c>
      <c r="G46" s="99" t="s">
        <v>11</v>
      </c>
    </row>
    <row r="47" spans="2:7" x14ac:dyDescent="0.2">
      <c r="B47" s="50" t="s">
        <v>11</v>
      </c>
      <c r="C47" s="51">
        <v>0</v>
      </c>
      <c r="D47" s="55" t="s">
        <v>11</v>
      </c>
      <c r="E47" s="56">
        <v>0</v>
      </c>
      <c r="F47" s="54">
        <f t="shared" si="4"/>
        <v>0</v>
      </c>
      <c r="G47" s="99" t="s">
        <v>11</v>
      </c>
    </row>
    <row r="48" spans="2:7" x14ac:dyDescent="0.2">
      <c r="B48" s="50" t="s">
        <v>11</v>
      </c>
      <c r="C48" s="51">
        <v>0</v>
      </c>
      <c r="D48" s="55" t="s">
        <v>11</v>
      </c>
      <c r="E48" s="56">
        <v>0</v>
      </c>
      <c r="F48" s="54">
        <f t="shared" si="4"/>
        <v>0</v>
      </c>
      <c r="G48" s="99" t="s">
        <v>11</v>
      </c>
    </row>
    <row r="49" spans="2:7" x14ac:dyDescent="0.2">
      <c r="B49" s="50" t="s">
        <v>11</v>
      </c>
      <c r="C49" s="51">
        <v>0</v>
      </c>
      <c r="D49" s="55" t="s">
        <v>11</v>
      </c>
      <c r="E49" s="56">
        <v>0</v>
      </c>
      <c r="F49" s="54">
        <f t="shared" si="4"/>
        <v>0</v>
      </c>
      <c r="G49" s="99" t="s">
        <v>11</v>
      </c>
    </row>
    <row r="50" spans="2:7" x14ac:dyDescent="0.2">
      <c r="B50" s="50" t="s">
        <v>11</v>
      </c>
      <c r="C50" s="51">
        <v>0</v>
      </c>
      <c r="D50" s="55" t="s">
        <v>11</v>
      </c>
      <c r="E50" s="56">
        <v>0</v>
      </c>
      <c r="F50" s="54">
        <f t="shared" si="4"/>
        <v>0</v>
      </c>
      <c r="G50" s="99" t="s">
        <v>11</v>
      </c>
    </row>
    <row r="51" spans="2:7" x14ac:dyDescent="0.2">
      <c r="B51" s="50" t="s">
        <v>11</v>
      </c>
      <c r="C51" s="51">
        <v>0</v>
      </c>
      <c r="D51" s="55" t="s">
        <v>11</v>
      </c>
      <c r="E51" s="56">
        <v>0</v>
      </c>
      <c r="F51" s="54">
        <f t="shared" si="4"/>
        <v>0</v>
      </c>
      <c r="G51" s="99" t="s">
        <v>11</v>
      </c>
    </row>
    <row r="52" spans="2:7" x14ac:dyDescent="0.2">
      <c r="B52" s="50" t="s">
        <v>11</v>
      </c>
      <c r="C52" s="51">
        <v>0</v>
      </c>
      <c r="D52" s="55" t="s">
        <v>11</v>
      </c>
      <c r="E52" s="56">
        <v>0</v>
      </c>
      <c r="F52" s="54">
        <f t="shared" si="4"/>
        <v>0</v>
      </c>
      <c r="G52" s="99" t="s">
        <v>11</v>
      </c>
    </row>
    <row r="53" spans="2:7" x14ac:dyDescent="0.2">
      <c r="B53" s="50" t="s">
        <v>11</v>
      </c>
      <c r="C53" s="51">
        <v>0</v>
      </c>
      <c r="D53" s="55" t="s">
        <v>11</v>
      </c>
      <c r="E53" s="56">
        <v>0</v>
      </c>
      <c r="F53" s="54">
        <f t="shared" si="4"/>
        <v>0</v>
      </c>
      <c r="G53" s="99" t="s">
        <v>11</v>
      </c>
    </row>
    <row r="54" spans="2:7" x14ac:dyDescent="0.2">
      <c r="B54" s="50" t="s">
        <v>11</v>
      </c>
      <c r="C54" s="51">
        <v>0</v>
      </c>
      <c r="D54" s="55" t="s">
        <v>11</v>
      </c>
      <c r="E54" s="56">
        <v>0</v>
      </c>
      <c r="F54" s="54">
        <f t="shared" si="4"/>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Floating Constructed Wetlands - Demonstration 1 - Data Refinement</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49" t="s">
        <v>11</v>
      </c>
      <c r="C75" s="197">
        <v>0</v>
      </c>
      <c r="D75" s="55" t="s">
        <v>11</v>
      </c>
      <c r="E75" s="56">
        <v>0</v>
      </c>
      <c r="F75" s="54">
        <f t="shared" ref="F75:F83" si="5">+MROUND(C75*E75,100)</f>
        <v>0</v>
      </c>
      <c r="G75" s="552" t="s">
        <v>11</v>
      </c>
    </row>
    <row r="76" spans="2:7" x14ac:dyDescent="0.2">
      <c r="B76" s="549" t="s">
        <v>11</v>
      </c>
      <c r="C76" s="197">
        <v>0</v>
      </c>
      <c r="D76" s="55" t="s">
        <v>11</v>
      </c>
      <c r="E76" s="56">
        <v>0</v>
      </c>
      <c r="F76" s="54">
        <f t="shared" si="5"/>
        <v>0</v>
      </c>
      <c r="G76" s="99" t="s">
        <v>11</v>
      </c>
    </row>
    <row r="77" spans="2:7" x14ac:dyDescent="0.2">
      <c r="B77" s="549" t="s">
        <v>11</v>
      </c>
      <c r="C77" s="197">
        <v>0</v>
      </c>
      <c r="D77" s="55" t="s">
        <v>11</v>
      </c>
      <c r="E77" s="56">
        <v>0</v>
      </c>
      <c r="F77" s="54">
        <f t="shared" si="5"/>
        <v>0</v>
      </c>
      <c r="G77" s="99" t="s">
        <v>11</v>
      </c>
    </row>
    <row r="78" spans="2:7" x14ac:dyDescent="0.2">
      <c r="B78" s="50" t="s">
        <v>11</v>
      </c>
      <c r="C78" s="51">
        <v>0</v>
      </c>
      <c r="D78" s="55" t="s">
        <v>11</v>
      </c>
      <c r="E78" s="56">
        <v>0</v>
      </c>
      <c r="F78" s="54">
        <f t="shared" si="5"/>
        <v>0</v>
      </c>
      <c r="G78" s="99" t="s">
        <v>11</v>
      </c>
    </row>
    <row r="79" spans="2:7" x14ac:dyDescent="0.2">
      <c r="B79" s="50" t="s">
        <v>11</v>
      </c>
      <c r="C79" s="51">
        <v>0</v>
      </c>
      <c r="D79" s="55" t="s">
        <v>11</v>
      </c>
      <c r="E79" s="56">
        <v>0</v>
      </c>
      <c r="F79" s="54">
        <f t="shared" si="5"/>
        <v>0</v>
      </c>
      <c r="G79" s="99" t="s">
        <v>11</v>
      </c>
    </row>
    <row r="80" spans="2:7" x14ac:dyDescent="0.2">
      <c r="B80" s="50" t="s">
        <v>11</v>
      </c>
      <c r="C80" s="51">
        <v>0</v>
      </c>
      <c r="D80" s="55" t="s">
        <v>11</v>
      </c>
      <c r="E80" s="56">
        <v>0</v>
      </c>
      <c r="F80" s="54">
        <f t="shared" si="5"/>
        <v>0</v>
      </c>
      <c r="G80" s="99" t="s">
        <v>11</v>
      </c>
    </row>
    <row r="81" spans="2:7" x14ac:dyDescent="0.2">
      <c r="B81" s="50" t="s">
        <v>11</v>
      </c>
      <c r="C81" s="51">
        <v>0</v>
      </c>
      <c r="D81" s="55" t="s">
        <v>11</v>
      </c>
      <c r="E81" s="56">
        <v>0</v>
      </c>
      <c r="F81" s="54">
        <f t="shared" si="5"/>
        <v>0</v>
      </c>
      <c r="G81" s="99" t="s">
        <v>11</v>
      </c>
    </row>
    <row r="82" spans="2:7" x14ac:dyDescent="0.2">
      <c r="B82" s="50" t="s">
        <v>11</v>
      </c>
      <c r="C82" s="51">
        <v>0</v>
      </c>
      <c r="D82" s="55" t="s">
        <v>11</v>
      </c>
      <c r="E82" s="56">
        <v>0</v>
      </c>
      <c r="F82" s="54">
        <f t="shared" si="5"/>
        <v>0</v>
      </c>
      <c r="G82" s="99" t="s">
        <v>11</v>
      </c>
    </row>
    <row r="83" spans="2:7" x14ac:dyDescent="0.2">
      <c r="B83" s="50" t="s">
        <v>11</v>
      </c>
      <c r="C83" s="51">
        <v>0</v>
      </c>
      <c r="D83" s="55" t="s">
        <v>11</v>
      </c>
      <c r="E83" s="56">
        <v>0</v>
      </c>
      <c r="F83" s="54">
        <f t="shared" si="5"/>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Floating Constructed Wetlands - Demonstration 1 - Data Refinement</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49" t="s">
        <v>11</v>
      </c>
      <c r="C105" s="197">
        <v>0</v>
      </c>
      <c r="D105" s="55" t="s">
        <v>11</v>
      </c>
      <c r="E105" s="198">
        <v>0</v>
      </c>
      <c r="F105" s="54">
        <f>+MROUND(C105*E105,100)</f>
        <v>0</v>
      </c>
      <c r="G105" s="552" t="s">
        <v>11</v>
      </c>
    </row>
    <row r="106" spans="2:7" x14ac:dyDescent="0.2">
      <c r="B106" s="549" t="s">
        <v>11</v>
      </c>
      <c r="C106" s="197">
        <v>0</v>
      </c>
      <c r="D106" s="55" t="s">
        <v>11</v>
      </c>
      <c r="E106" s="198">
        <v>0</v>
      </c>
      <c r="F106" s="54">
        <f t="shared" ref="F106:F114" si="6">+MROUND(C106*E106,100)</f>
        <v>0</v>
      </c>
      <c r="G106" s="552" t="s">
        <v>11</v>
      </c>
    </row>
    <row r="107" spans="2:7" x14ac:dyDescent="0.2">
      <c r="B107" s="549" t="s">
        <v>11</v>
      </c>
      <c r="C107" s="197">
        <v>0</v>
      </c>
      <c r="D107" s="55" t="s">
        <v>11</v>
      </c>
      <c r="E107" s="198">
        <v>0</v>
      </c>
      <c r="F107" s="54">
        <f t="shared" si="6"/>
        <v>0</v>
      </c>
      <c r="G107" s="552" t="s">
        <v>11</v>
      </c>
    </row>
    <row r="108" spans="2:7" x14ac:dyDescent="0.2">
      <c r="B108" s="549" t="s">
        <v>11</v>
      </c>
      <c r="C108" s="197">
        <v>0</v>
      </c>
      <c r="D108" s="55" t="s">
        <v>11</v>
      </c>
      <c r="E108" s="198">
        <v>0</v>
      </c>
      <c r="F108" s="54">
        <f t="shared" si="6"/>
        <v>0</v>
      </c>
      <c r="G108" s="552" t="s">
        <v>11</v>
      </c>
    </row>
    <row r="109" spans="2:7" x14ac:dyDescent="0.2">
      <c r="B109" s="549" t="s">
        <v>11</v>
      </c>
      <c r="C109" s="197">
        <v>0</v>
      </c>
      <c r="D109" s="55" t="s">
        <v>11</v>
      </c>
      <c r="E109" s="198">
        <v>0</v>
      </c>
      <c r="F109" s="54">
        <f t="shared" si="6"/>
        <v>0</v>
      </c>
      <c r="G109" s="552" t="s">
        <v>11</v>
      </c>
    </row>
    <row r="110" spans="2:7" x14ac:dyDescent="0.2">
      <c r="B110" s="50" t="s">
        <v>11</v>
      </c>
      <c r="C110" s="51">
        <v>0</v>
      </c>
      <c r="D110" s="55" t="s">
        <v>11</v>
      </c>
      <c r="E110" s="56">
        <v>0</v>
      </c>
      <c r="F110" s="54">
        <f t="shared" si="6"/>
        <v>0</v>
      </c>
      <c r="G110" s="99" t="s">
        <v>11</v>
      </c>
    </row>
    <row r="111" spans="2:7" x14ac:dyDescent="0.2">
      <c r="B111" s="50" t="s">
        <v>11</v>
      </c>
      <c r="C111" s="51">
        <v>0</v>
      </c>
      <c r="D111" s="55" t="s">
        <v>11</v>
      </c>
      <c r="E111" s="56">
        <v>0</v>
      </c>
      <c r="F111" s="54">
        <f t="shared" si="6"/>
        <v>0</v>
      </c>
      <c r="G111" s="99" t="s">
        <v>11</v>
      </c>
    </row>
    <row r="112" spans="2:7" x14ac:dyDescent="0.2">
      <c r="B112" s="50" t="s">
        <v>11</v>
      </c>
      <c r="C112" s="51">
        <v>0</v>
      </c>
      <c r="D112" s="55" t="s">
        <v>11</v>
      </c>
      <c r="E112" s="56">
        <v>0</v>
      </c>
      <c r="F112" s="54">
        <f t="shared" si="6"/>
        <v>0</v>
      </c>
      <c r="G112" s="99" t="s">
        <v>11</v>
      </c>
    </row>
    <row r="113" spans="2:7" x14ac:dyDescent="0.2">
      <c r="B113" s="50" t="s">
        <v>11</v>
      </c>
      <c r="C113" s="51">
        <v>0</v>
      </c>
      <c r="D113" s="55" t="s">
        <v>11</v>
      </c>
      <c r="E113" s="56">
        <v>0</v>
      </c>
      <c r="F113" s="54">
        <f t="shared" si="6"/>
        <v>0</v>
      </c>
      <c r="G113" s="99" t="s">
        <v>11</v>
      </c>
    </row>
    <row r="114" spans="2:7" x14ac:dyDescent="0.2">
      <c r="B114" s="50" t="s">
        <v>11</v>
      </c>
      <c r="C114" s="51">
        <v>0</v>
      </c>
      <c r="D114" s="55" t="s">
        <v>11</v>
      </c>
      <c r="E114" s="56">
        <v>0</v>
      </c>
      <c r="F114" s="54">
        <f t="shared" si="6"/>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D105:D114 D75:D83 D10:D23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513</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51410</v>
      </c>
      <c r="F9" s="64">
        <f>+MROUND(C9*E9,100)</f>
        <v>51400</v>
      </c>
      <c r="G9" s="77" t="str">
        <f>CONCATENATE(Assumptions!C9*100,"%"," ","of Other Items")</f>
        <v>5% of Other Items</v>
      </c>
      <c r="S9" s="147"/>
    </row>
    <row r="10" spans="2:19" x14ac:dyDescent="0.2">
      <c r="B10" s="549" t="s">
        <v>100</v>
      </c>
      <c r="C10" s="550">
        <v>32500</v>
      </c>
      <c r="D10" s="55" t="s">
        <v>56</v>
      </c>
      <c r="E10" s="551">
        <v>22</v>
      </c>
      <c r="F10" s="54">
        <f t="shared" ref="F10:F17" si="0">+MROUND(C10*E10,100)</f>
        <v>715000</v>
      </c>
      <c r="G10" s="552" t="s">
        <v>258</v>
      </c>
      <c r="S10" s="147"/>
    </row>
    <row r="11" spans="2:19" x14ac:dyDescent="0.2">
      <c r="B11" s="549" t="s">
        <v>252</v>
      </c>
      <c r="C11" s="550">
        <v>1</v>
      </c>
      <c r="D11" s="55" t="s">
        <v>56</v>
      </c>
      <c r="E11" s="551">
        <v>113000</v>
      </c>
      <c r="F11" s="54">
        <f t="shared" si="0"/>
        <v>113000</v>
      </c>
      <c r="G11" s="552" t="s">
        <v>258</v>
      </c>
      <c r="S11" s="147"/>
    </row>
    <row r="12" spans="2:19" x14ac:dyDescent="0.2">
      <c r="B12" s="549" t="s">
        <v>253</v>
      </c>
      <c r="C12" s="550">
        <v>8</v>
      </c>
      <c r="D12" s="55" t="s">
        <v>56</v>
      </c>
      <c r="E12" s="551">
        <v>1250</v>
      </c>
      <c r="F12" s="54">
        <f t="shared" si="0"/>
        <v>10000</v>
      </c>
      <c r="G12" s="552" t="s">
        <v>259</v>
      </c>
      <c r="S12" s="147"/>
    </row>
    <row r="13" spans="2:19" x14ac:dyDescent="0.2">
      <c r="B13" s="549" t="s">
        <v>254</v>
      </c>
      <c r="C13" s="550">
        <v>8</v>
      </c>
      <c r="D13" s="55" t="s">
        <v>56</v>
      </c>
      <c r="E13" s="551">
        <v>90</v>
      </c>
      <c r="F13" s="54">
        <f t="shared" si="0"/>
        <v>700</v>
      </c>
      <c r="G13" s="552" t="s">
        <v>260</v>
      </c>
      <c r="S13" s="147"/>
    </row>
    <row r="14" spans="2:19" x14ac:dyDescent="0.2">
      <c r="B14" s="549" t="s">
        <v>255</v>
      </c>
      <c r="C14" s="550">
        <v>32500</v>
      </c>
      <c r="D14" s="55" t="s">
        <v>56</v>
      </c>
      <c r="E14" s="551">
        <v>3</v>
      </c>
      <c r="F14" s="54">
        <f t="shared" si="0"/>
        <v>97500</v>
      </c>
      <c r="G14" s="552" t="s">
        <v>261</v>
      </c>
      <c r="S14" s="147"/>
    </row>
    <row r="15" spans="2:19" x14ac:dyDescent="0.2">
      <c r="B15" s="549" t="s">
        <v>256</v>
      </c>
      <c r="C15" s="550">
        <v>32500</v>
      </c>
      <c r="D15" s="55" t="s">
        <v>56</v>
      </c>
      <c r="E15" s="551">
        <v>2</v>
      </c>
      <c r="F15" s="54">
        <f t="shared" si="0"/>
        <v>65000</v>
      </c>
      <c r="G15" s="552" t="s">
        <v>262</v>
      </c>
      <c r="S15" s="147"/>
    </row>
    <row r="16" spans="2:19" x14ac:dyDescent="0.2">
      <c r="B16" s="549" t="s">
        <v>257</v>
      </c>
      <c r="C16" s="550">
        <v>1</v>
      </c>
      <c r="D16" s="55" t="s">
        <v>34</v>
      </c>
      <c r="E16" s="551">
        <v>25000</v>
      </c>
      <c r="F16" s="54">
        <f t="shared" si="0"/>
        <v>25000</v>
      </c>
      <c r="G16" s="552" t="s">
        <v>263</v>
      </c>
      <c r="S16" s="147"/>
    </row>
    <row r="17" spans="2:19" x14ac:dyDescent="0.2">
      <c r="B17" s="549" t="s">
        <v>174</v>
      </c>
      <c r="C17" s="550">
        <v>2</v>
      </c>
      <c r="D17" s="55" t="s">
        <v>21</v>
      </c>
      <c r="E17" s="551">
        <v>1000</v>
      </c>
      <c r="F17" s="54">
        <f t="shared" si="0"/>
        <v>2000</v>
      </c>
      <c r="G17" s="552" t="s">
        <v>264</v>
      </c>
      <c r="S17" s="147"/>
    </row>
    <row r="18" spans="2:19" x14ac:dyDescent="0.2">
      <c r="B18" s="50" t="s">
        <v>11</v>
      </c>
      <c r="C18" s="51">
        <v>0</v>
      </c>
      <c r="D18" s="55"/>
      <c r="E18" s="56">
        <v>0</v>
      </c>
      <c r="F18" s="54">
        <f t="shared" ref="F18:F22" si="1">+MROUND(C18*E18,100)</f>
        <v>0</v>
      </c>
      <c r="G18" s="99" t="s">
        <v>11</v>
      </c>
      <c r="S18" s="147"/>
    </row>
    <row r="19" spans="2:19" x14ac:dyDescent="0.2">
      <c r="B19" s="50" t="s">
        <v>11</v>
      </c>
      <c r="C19" s="51">
        <v>0</v>
      </c>
      <c r="D19" s="55"/>
      <c r="E19" s="56">
        <v>0</v>
      </c>
      <c r="F19" s="54">
        <f t="shared" si="1"/>
        <v>0</v>
      </c>
      <c r="G19" s="99" t="s">
        <v>11</v>
      </c>
      <c r="S19" s="147"/>
    </row>
    <row r="20" spans="2:19" x14ac:dyDescent="0.2">
      <c r="B20" s="50" t="s">
        <v>11</v>
      </c>
      <c r="C20" s="51">
        <v>0</v>
      </c>
      <c r="D20" s="55"/>
      <c r="E20" s="56">
        <v>0</v>
      </c>
      <c r="F20" s="54">
        <f t="shared" si="1"/>
        <v>0</v>
      </c>
      <c r="G20" s="99" t="s">
        <v>11</v>
      </c>
      <c r="S20" s="147"/>
    </row>
    <row r="21" spans="2:19" x14ac:dyDescent="0.2">
      <c r="B21" s="50" t="s">
        <v>11</v>
      </c>
      <c r="C21" s="51">
        <v>0</v>
      </c>
      <c r="D21" s="55"/>
      <c r="E21" s="56">
        <v>0</v>
      </c>
      <c r="F21" s="54">
        <f t="shared" si="1"/>
        <v>0</v>
      </c>
      <c r="G21" s="99" t="s">
        <v>11</v>
      </c>
      <c r="S21" s="147"/>
    </row>
    <row r="22" spans="2:19" x14ac:dyDescent="0.2">
      <c r="B22" s="50" t="s">
        <v>11</v>
      </c>
      <c r="C22" s="51">
        <v>0</v>
      </c>
      <c r="D22" s="55"/>
      <c r="E22" s="56">
        <v>0</v>
      </c>
      <c r="F22" s="54">
        <f t="shared" si="1"/>
        <v>0</v>
      </c>
      <c r="G22" s="99" t="s">
        <v>11</v>
      </c>
      <c r="S22" s="147"/>
    </row>
    <row r="23" spans="2:19" x14ac:dyDescent="0.2">
      <c r="B23" s="50" t="s">
        <v>11</v>
      </c>
      <c r="C23" s="51">
        <v>0</v>
      </c>
      <c r="D23" s="55"/>
      <c r="E23" s="56">
        <v>0</v>
      </c>
      <c r="F23" s="54">
        <f t="shared" ref="F23" si="2">+MROUND(C23*E23,1000)</f>
        <v>0</v>
      </c>
      <c r="G23" s="99" t="s">
        <v>11</v>
      </c>
      <c r="S23" s="147"/>
    </row>
    <row r="24" spans="2:19" x14ac:dyDescent="0.2">
      <c r="B24" s="72"/>
      <c r="C24" s="63"/>
      <c r="D24" s="90" t="s">
        <v>3</v>
      </c>
      <c r="E24" s="68"/>
      <c r="F24" s="93">
        <f>+SUM(F9:F23)</f>
        <v>1079600</v>
      </c>
      <c r="G24" s="98"/>
    </row>
    <row r="25" spans="2:19" x14ac:dyDescent="0.2">
      <c r="B25" s="72"/>
      <c r="D25" s="91" t="str">
        <f>Assumptions!B10</f>
        <v>Overhead and Profit</v>
      </c>
      <c r="E25" s="95">
        <f>Assumptions!C10</f>
        <v>0.22</v>
      </c>
      <c r="F25" s="67">
        <f>+MROUND(F24*E25,100)</f>
        <v>237500</v>
      </c>
      <c r="G25" s="77"/>
    </row>
    <row r="26" spans="2:19" x14ac:dyDescent="0.2">
      <c r="B26" s="72"/>
      <c r="D26" s="91" t="s">
        <v>3</v>
      </c>
      <c r="E26" s="66"/>
      <c r="F26" s="92">
        <f>F25+F24</f>
        <v>1317100</v>
      </c>
      <c r="G26" s="77"/>
    </row>
    <row r="27" spans="2:19" x14ac:dyDescent="0.2">
      <c r="B27" s="72"/>
      <c r="D27" s="91" t="str">
        <f>Assumptions!B11</f>
        <v>Contingency</v>
      </c>
      <c r="E27" s="96">
        <f>Assumptions!C11</f>
        <v>0.25</v>
      </c>
      <c r="F27" s="64">
        <f>+MROUND((F26)*E27,100)</f>
        <v>329300</v>
      </c>
      <c r="G27" s="77"/>
    </row>
    <row r="28" spans="2:19" x14ac:dyDescent="0.2">
      <c r="B28" s="72"/>
      <c r="D28" s="91" t="s">
        <v>36</v>
      </c>
      <c r="E28" s="96"/>
      <c r="F28" s="93">
        <f>SUM(F26:F27)</f>
        <v>1646400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82300</v>
      </c>
      <c r="G30" s="77"/>
    </row>
    <row r="31" spans="2:19" x14ac:dyDescent="0.2">
      <c r="B31" s="72"/>
      <c r="D31" s="91" t="str">
        <f>Assumptions!B14</f>
        <v>Engineering - Planning/Consultation</v>
      </c>
      <c r="E31" s="96">
        <f>Assumptions!C14</f>
        <v>0.05</v>
      </c>
      <c r="F31" s="64">
        <f t="shared" ref="F31:F33" si="3">+MROUND($F$28*E31,100)</f>
        <v>82300</v>
      </c>
      <c r="G31" s="77"/>
    </row>
    <row r="32" spans="2:19" x14ac:dyDescent="0.2">
      <c r="B32" s="72"/>
      <c r="D32" s="91" t="str">
        <f>Assumptions!B15</f>
        <v>Engineering - Design</v>
      </c>
      <c r="E32" s="96">
        <f>Assumptions!C15</f>
        <v>0.1</v>
      </c>
      <c r="F32" s="64">
        <f t="shared" si="3"/>
        <v>164600</v>
      </c>
      <c r="G32" s="77"/>
    </row>
    <row r="33" spans="2:7" x14ac:dyDescent="0.2">
      <c r="B33" s="72"/>
      <c r="D33" s="91" t="str">
        <f>Assumptions!B16</f>
        <v>Engineering - Construction</v>
      </c>
      <c r="E33" s="96">
        <f>Assumptions!C16</f>
        <v>0.15</v>
      </c>
      <c r="F33" s="64">
        <f t="shared" si="3"/>
        <v>247000</v>
      </c>
      <c r="G33" s="77"/>
    </row>
    <row r="34" spans="2:7" x14ac:dyDescent="0.2">
      <c r="B34" s="32"/>
      <c r="C34" s="63"/>
      <c r="D34" s="94" t="s">
        <v>19</v>
      </c>
      <c r="E34" s="68"/>
      <c r="F34" s="124">
        <f>SUM(F28:F33)</f>
        <v>2222600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Floating Constructed Wetlands - Demonstration 2 - Lonnie's Pond</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175</v>
      </c>
      <c r="C45" s="51">
        <v>2</v>
      </c>
      <c r="D45" s="55" t="s">
        <v>56</v>
      </c>
      <c r="E45" s="56">
        <v>6000</v>
      </c>
      <c r="F45" s="54">
        <f>+MROUND(C45*E45,100)</f>
        <v>12000</v>
      </c>
      <c r="G45" s="552" t="s">
        <v>176</v>
      </c>
    </row>
    <row r="46" spans="2:7" x14ac:dyDescent="0.2">
      <c r="B46" s="50" t="s">
        <v>11</v>
      </c>
      <c r="C46" s="51">
        <v>0</v>
      </c>
      <c r="D46" s="55"/>
      <c r="E46" s="56">
        <v>0</v>
      </c>
      <c r="F46" s="54">
        <f t="shared" ref="F46:F54" si="4">+MROUND(C46*E46,100)</f>
        <v>0</v>
      </c>
      <c r="G46" s="99" t="s">
        <v>11</v>
      </c>
    </row>
    <row r="47" spans="2:7" x14ac:dyDescent="0.2">
      <c r="B47" s="50" t="s">
        <v>11</v>
      </c>
      <c r="C47" s="51">
        <v>0</v>
      </c>
      <c r="D47" s="55"/>
      <c r="E47" s="56">
        <v>0</v>
      </c>
      <c r="F47" s="54">
        <f t="shared" si="4"/>
        <v>0</v>
      </c>
      <c r="G47" s="99" t="s">
        <v>11</v>
      </c>
    </row>
    <row r="48" spans="2:7" x14ac:dyDescent="0.2">
      <c r="B48" s="50" t="s">
        <v>11</v>
      </c>
      <c r="C48" s="51">
        <v>0</v>
      </c>
      <c r="D48" s="55"/>
      <c r="E48" s="56">
        <v>0</v>
      </c>
      <c r="F48" s="54">
        <f t="shared" si="4"/>
        <v>0</v>
      </c>
      <c r="G48" s="99" t="s">
        <v>11</v>
      </c>
    </row>
    <row r="49" spans="2:7" x14ac:dyDescent="0.2">
      <c r="B49" s="50" t="s">
        <v>11</v>
      </c>
      <c r="C49" s="51">
        <v>0</v>
      </c>
      <c r="D49" s="55"/>
      <c r="E49" s="56">
        <v>0</v>
      </c>
      <c r="F49" s="54">
        <f t="shared" si="4"/>
        <v>0</v>
      </c>
      <c r="G49" s="99" t="s">
        <v>11</v>
      </c>
    </row>
    <row r="50" spans="2:7" x14ac:dyDescent="0.2">
      <c r="B50" s="50" t="s">
        <v>11</v>
      </c>
      <c r="C50" s="51">
        <v>0</v>
      </c>
      <c r="D50" s="55"/>
      <c r="E50" s="56">
        <v>0</v>
      </c>
      <c r="F50" s="54">
        <f t="shared" si="4"/>
        <v>0</v>
      </c>
      <c r="G50" s="99" t="s">
        <v>11</v>
      </c>
    </row>
    <row r="51" spans="2:7" x14ac:dyDescent="0.2">
      <c r="B51" s="50" t="s">
        <v>11</v>
      </c>
      <c r="C51" s="51">
        <v>0</v>
      </c>
      <c r="D51" s="55"/>
      <c r="E51" s="56">
        <v>0</v>
      </c>
      <c r="F51" s="54">
        <f t="shared" si="4"/>
        <v>0</v>
      </c>
      <c r="G51" s="99" t="s">
        <v>11</v>
      </c>
    </row>
    <row r="52" spans="2:7" x14ac:dyDescent="0.2">
      <c r="B52" s="50" t="s">
        <v>11</v>
      </c>
      <c r="C52" s="51">
        <v>0</v>
      </c>
      <c r="D52" s="55"/>
      <c r="E52" s="56">
        <v>0</v>
      </c>
      <c r="F52" s="54">
        <f t="shared" si="4"/>
        <v>0</v>
      </c>
      <c r="G52" s="99" t="s">
        <v>11</v>
      </c>
    </row>
    <row r="53" spans="2:7" x14ac:dyDescent="0.2">
      <c r="B53" s="50" t="s">
        <v>11</v>
      </c>
      <c r="C53" s="51">
        <v>0</v>
      </c>
      <c r="D53" s="55"/>
      <c r="E53" s="56">
        <v>0</v>
      </c>
      <c r="F53" s="54">
        <f t="shared" si="4"/>
        <v>0</v>
      </c>
      <c r="G53" s="99" t="s">
        <v>11</v>
      </c>
    </row>
    <row r="54" spans="2:7" x14ac:dyDescent="0.2">
      <c r="B54" s="50" t="s">
        <v>11</v>
      </c>
      <c r="C54" s="51">
        <v>0</v>
      </c>
      <c r="D54" s="55"/>
      <c r="E54" s="56">
        <v>0</v>
      </c>
      <c r="F54" s="54">
        <f t="shared" si="4"/>
        <v>0</v>
      </c>
      <c r="G54" s="99" t="s">
        <v>11</v>
      </c>
    </row>
    <row r="55" spans="2:7" x14ac:dyDescent="0.2">
      <c r="B55" s="72"/>
      <c r="C55" s="63"/>
      <c r="D55" s="90" t="s">
        <v>3</v>
      </c>
      <c r="E55" s="68"/>
      <c r="F55" s="93">
        <f>SUM(F45:F54)</f>
        <v>12000</v>
      </c>
      <c r="G55" s="98"/>
    </row>
    <row r="56" spans="2:7" x14ac:dyDescent="0.2">
      <c r="B56" s="72"/>
      <c r="D56" s="91" t="str">
        <f>Assumptions!B21</f>
        <v>Contingency</v>
      </c>
      <c r="E56" s="95">
        <f>Assumptions!C21</f>
        <v>0.1</v>
      </c>
      <c r="F56" s="64">
        <f>+MROUND((F55)*E56,100)</f>
        <v>1200</v>
      </c>
      <c r="G56" s="77"/>
    </row>
    <row r="57" spans="2:7" x14ac:dyDescent="0.2">
      <c r="B57" s="72"/>
      <c r="D57" s="91" t="s">
        <v>3</v>
      </c>
      <c r="E57" s="66"/>
      <c r="F57" s="93">
        <f>SUM(F55:F56)</f>
        <v>13200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400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13600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Floating Constructed Wetlands - Demonstration 2 - Lonnie's Pond</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595</v>
      </c>
      <c r="F74" s="111">
        <f>+MROUND(C74*E74,100)</f>
        <v>600</v>
      </c>
      <c r="G74" s="112" t="str">
        <f>CONCATENATE(Assumptions!C33*100,"%"," ","of Other Items")</f>
        <v>5% of Other Items</v>
      </c>
    </row>
    <row r="75" spans="2:7" x14ac:dyDescent="0.2">
      <c r="B75" s="549" t="s">
        <v>177</v>
      </c>
      <c r="C75" s="550">
        <v>1625</v>
      </c>
      <c r="D75" s="55" t="s">
        <v>56</v>
      </c>
      <c r="E75" s="56">
        <v>3</v>
      </c>
      <c r="F75" s="54">
        <f t="shared" ref="F75:F77" si="5">+MROUND(C75*E75,100)</f>
        <v>4900</v>
      </c>
      <c r="G75" s="552" t="s">
        <v>482</v>
      </c>
    </row>
    <row r="76" spans="2:7" x14ac:dyDescent="0.2">
      <c r="B76" s="549" t="s">
        <v>251</v>
      </c>
      <c r="C76" s="550">
        <v>1</v>
      </c>
      <c r="D76" s="55" t="s">
        <v>31</v>
      </c>
      <c r="E76" s="56">
        <v>6000</v>
      </c>
      <c r="F76" s="54">
        <f t="shared" si="5"/>
        <v>6000</v>
      </c>
      <c r="G76" s="552" t="s">
        <v>11</v>
      </c>
    </row>
    <row r="77" spans="2:7" x14ac:dyDescent="0.2">
      <c r="B77" s="549" t="s">
        <v>174</v>
      </c>
      <c r="C77" s="550">
        <v>1</v>
      </c>
      <c r="D77" s="55" t="s">
        <v>56</v>
      </c>
      <c r="E77" s="56">
        <v>1000</v>
      </c>
      <c r="F77" s="54">
        <f t="shared" si="5"/>
        <v>1000</v>
      </c>
      <c r="G77" s="552" t="s">
        <v>11</v>
      </c>
    </row>
    <row r="78" spans="2:7" x14ac:dyDescent="0.2">
      <c r="B78" s="50" t="s">
        <v>11</v>
      </c>
      <c r="C78" s="51">
        <v>0</v>
      </c>
      <c r="D78" s="55"/>
      <c r="E78" s="56">
        <v>0</v>
      </c>
      <c r="F78" s="54">
        <f t="shared" ref="F78:F83" si="6">+MROUND(C78*E78,100)</f>
        <v>0</v>
      </c>
      <c r="G78" s="99" t="s">
        <v>11</v>
      </c>
    </row>
    <row r="79" spans="2:7" x14ac:dyDescent="0.2">
      <c r="B79" s="50" t="s">
        <v>11</v>
      </c>
      <c r="C79" s="51">
        <v>0</v>
      </c>
      <c r="D79" s="55"/>
      <c r="E79" s="56">
        <v>0</v>
      </c>
      <c r="F79" s="54">
        <f t="shared" si="6"/>
        <v>0</v>
      </c>
      <c r="G79" s="99" t="s">
        <v>11</v>
      </c>
    </row>
    <row r="80" spans="2:7" x14ac:dyDescent="0.2">
      <c r="B80" s="50" t="s">
        <v>11</v>
      </c>
      <c r="C80" s="51">
        <v>0</v>
      </c>
      <c r="D80" s="55"/>
      <c r="E80" s="56">
        <v>0</v>
      </c>
      <c r="F80" s="54">
        <f t="shared" si="6"/>
        <v>0</v>
      </c>
      <c r="G80" s="99" t="s">
        <v>11</v>
      </c>
    </row>
    <row r="81" spans="2:7" x14ac:dyDescent="0.2">
      <c r="B81" s="50" t="s">
        <v>11</v>
      </c>
      <c r="C81" s="51">
        <v>0</v>
      </c>
      <c r="D81" s="55"/>
      <c r="E81" s="56">
        <v>0</v>
      </c>
      <c r="F81" s="54">
        <f t="shared" si="6"/>
        <v>0</v>
      </c>
      <c r="G81" s="99" t="s">
        <v>11</v>
      </c>
    </row>
    <row r="82" spans="2:7" x14ac:dyDescent="0.2">
      <c r="B82" s="50" t="s">
        <v>11</v>
      </c>
      <c r="C82" s="51">
        <v>0</v>
      </c>
      <c r="D82" s="55"/>
      <c r="E82" s="56">
        <v>0</v>
      </c>
      <c r="F82" s="54">
        <f t="shared" si="6"/>
        <v>0</v>
      </c>
      <c r="G82" s="99" t="s">
        <v>11</v>
      </c>
    </row>
    <row r="83" spans="2:7" x14ac:dyDescent="0.2">
      <c r="B83" s="50" t="s">
        <v>11</v>
      </c>
      <c r="C83" s="51">
        <v>0</v>
      </c>
      <c r="D83" s="55"/>
      <c r="E83" s="56">
        <v>0</v>
      </c>
      <c r="F83" s="54">
        <f t="shared" si="6"/>
        <v>0</v>
      </c>
      <c r="G83" s="99" t="s">
        <v>11</v>
      </c>
    </row>
    <row r="84" spans="2:7" x14ac:dyDescent="0.2">
      <c r="B84" s="72"/>
      <c r="C84" s="63"/>
      <c r="D84" s="90" t="s">
        <v>3</v>
      </c>
      <c r="E84" s="68"/>
      <c r="F84" s="93">
        <f>SUM(F74:F83)</f>
        <v>12500</v>
      </c>
      <c r="G84" s="98"/>
    </row>
    <row r="85" spans="2:7" x14ac:dyDescent="0.2">
      <c r="B85" s="72"/>
      <c r="D85" s="91" t="str">
        <f>Assumptions!B34</f>
        <v>Overhead and Profit</v>
      </c>
      <c r="E85" s="95">
        <f>Assumptions!C34</f>
        <v>0.22</v>
      </c>
      <c r="F85" s="67">
        <f>+MROUND(F84*E85,100)</f>
        <v>2800</v>
      </c>
      <c r="G85" s="77"/>
    </row>
    <row r="86" spans="2:7" x14ac:dyDescent="0.2">
      <c r="B86" s="72"/>
      <c r="D86" s="91" t="s">
        <v>3</v>
      </c>
      <c r="E86" s="66"/>
      <c r="F86" s="92">
        <f>F85+F84</f>
        <v>15300</v>
      </c>
      <c r="G86" s="77"/>
    </row>
    <row r="87" spans="2:7" x14ac:dyDescent="0.2">
      <c r="B87" s="72"/>
      <c r="D87" s="91" t="str">
        <f>Assumptions!B35</f>
        <v>Contingency</v>
      </c>
      <c r="E87" s="96">
        <f>Assumptions!C35</f>
        <v>0.3</v>
      </c>
      <c r="F87" s="64">
        <f>+MROUND((F86)*E87,100)</f>
        <v>4600</v>
      </c>
      <c r="G87" s="77"/>
    </row>
    <row r="88" spans="2:7" x14ac:dyDescent="0.2">
      <c r="B88" s="72"/>
      <c r="D88" s="91" t="s">
        <v>36</v>
      </c>
      <c r="E88" s="66"/>
      <c r="F88" s="93">
        <f>SUM(F86:F87)</f>
        <v>19900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600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2000</v>
      </c>
      <c r="G92" s="77"/>
    </row>
    <row r="93" spans="2:7" x14ac:dyDescent="0.2">
      <c r="B93" s="72"/>
      <c r="D93" s="91" t="str">
        <f>Assumptions!B40</f>
        <v>Engineering - Construction</v>
      </c>
      <c r="E93" s="96">
        <f>Assumptions!C40</f>
        <v>0.15</v>
      </c>
      <c r="F93" s="64">
        <f>+MROUND($F$88*E93,100)</f>
        <v>3000</v>
      </c>
      <c r="G93" s="77"/>
    </row>
    <row r="94" spans="2:7" x14ac:dyDescent="0.2">
      <c r="B94" s="32"/>
      <c r="C94" s="63"/>
      <c r="D94" s="94" t="s">
        <v>58</v>
      </c>
      <c r="E94" s="68"/>
      <c r="F94" s="124">
        <f>SUM(F88:F93)</f>
        <v>25500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Floating Constructed Wetlands - Demonstration 2 - Lonnie's Pond</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49" t="s">
        <v>243</v>
      </c>
      <c r="C105" s="550">
        <v>12</v>
      </c>
      <c r="D105" s="55" t="s">
        <v>56</v>
      </c>
      <c r="E105" s="551">
        <v>3200</v>
      </c>
      <c r="F105" s="54">
        <f>+MROUND(C105*E105,100)</f>
        <v>38400</v>
      </c>
      <c r="G105" s="552" t="s">
        <v>247</v>
      </c>
    </row>
    <row r="106" spans="2:7" x14ac:dyDescent="0.2">
      <c r="B106" s="549" t="s">
        <v>244</v>
      </c>
      <c r="C106" s="550">
        <v>48</v>
      </c>
      <c r="D106" s="55" t="s">
        <v>56</v>
      </c>
      <c r="E106" s="551">
        <v>450</v>
      </c>
      <c r="F106" s="54">
        <f t="shared" ref="F106:F109" si="7">+MROUND(C106*E106,100)</f>
        <v>21600</v>
      </c>
      <c r="G106" s="552" t="s">
        <v>248</v>
      </c>
    </row>
    <row r="107" spans="2:7" x14ac:dyDescent="0.2">
      <c r="B107" s="549" t="s">
        <v>101</v>
      </c>
      <c r="C107" s="550">
        <v>4</v>
      </c>
      <c r="D107" s="55" t="s">
        <v>56</v>
      </c>
      <c r="E107" s="551">
        <v>8000</v>
      </c>
      <c r="F107" s="54">
        <f t="shared" si="7"/>
        <v>32000</v>
      </c>
      <c r="G107" s="552" t="s">
        <v>249</v>
      </c>
    </row>
    <row r="108" spans="2:7" x14ac:dyDescent="0.2">
      <c r="B108" s="549" t="s">
        <v>245</v>
      </c>
      <c r="C108" s="550">
        <v>0</v>
      </c>
      <c r="D108" s="55" t="s">
        <v>56</v>
      </c>
      <c r="E108" s="551">
        <v>0</v>
      </c>
      <c r="F108" s="54">
        <f t="shared" si="7"/>
        <v>0</v>
      </c>
      <c r="G108" s="552" t="s">
        <v>11</v>
      </c>
    </row>
    <row r="109" spans="2:7" x14ac:dyDescent="0.2">
      <c r="B109" s="549" t="s">
        <v>246</v>
      </c>
      <c r="C109" s="550">
        <v>1</v>
      </c>
      <c r="D109" s="55" t="s">
        <v>56</v>
      </c>
      <c r="E109" s="551">
        <v>15000</v>
      </c>
      <c r="F109" s="54">
        <f t="shared" si="7"/>
        <v>15000</v>
      </c>
      <c r="G109" s="552" t="s">
        <v>250</v>
      </c>
    </row>
    <row r="110" spans="2:7" x14ac:dyDescent="0.2">
      <c r="B110" s="50" t="s">
        <v>11</v>
      </c>
      <c r="C110" s="51">
        <v>0</v>
      </c>
      <c r="D110" s="55"/>
      <c r="E110" s="56">
        <v>0</v>
      </c>
      <c r="F110" s="54">
        <f t="shared" ref="F110:F114" si="8">+MROUND(C110*E110,100)</f>
        <v>0</v>
      </c>
      <c r="G110" s="99" t="s">
        <v>11</v>
      </c>
    </row>
    <row r="111" spans="2:7" x14ac:dyDescent="0.2">
      <c r="B111" s="50" t="s">
        <v>11</v>
      </c>
      <c r="C111" s="51">
        <v>0</v>
      </c>
      <c r="D111" s="55"/>
      <c r="E111" s="56">
        <v>0</v>
      </c>
      <c r="F111" s="54">
        <f t="shared" si="8"/>
        <v>0</v>
      </c>
      <c r="G111" s="99" t="s">
        <v>11</v>
      </c>
    </row>
    <row r="112" spans="2:7" x14ac:dyDescent="0.2">
      <c r="B112" s="50" t="s">
        <v>11</v>
      </c>
      <c r="C112" s="51">
        <v>0</v>
      </c>
      <c r="D112" s="55"/>
      <c r="E112" s="56">
        <v>0</v>
      </c>
      <c r="F112" s="54">
        <f t="shared" si="8"/>
        <v>0</v>
      </c>
      <c r="G112" s="99" t="s">
        <v>11</v>
      </c>
    </row>
    <row r="113" spans="2:7" x14ac:dyDescent="0.2">
      <c r="B113" s="50" t="s">
        <v>11</v>
      </c>
      <c r="C113" s="51">
        <v>0</v>
      </c>
      <c r="D113" s="55"/>
      <c r="E113" s="56">
        <v>0</v>
      </c>
      <c r="F113" s="54">
        <f t="shared" si="8"/>
        <v>0</v>
      </c>
      <c r="G113" s="99" t="s">
        <v>11</v>
      </c>
    </row>
    <row r="114" spans="2:7" x14ac:dyDescent="0.2">
      <c r="B114" s="50" t="s">
        <v>11</v>
      </c>
      <c r="C114" s="51">
        <v>0</v>
      </c>
      <c r="D114" s="55"/>
      <c r="E114" s="56">
        <v>0</v>
      </c>
      <c r="F114" s="54">
        <f t="shared" si="8"/>
        <v>0</v>
      </c>
      <c r="G114" s="99" t="s">
        <v>11</v>
      </c>
    </row>
    <row r="115" spans="2:7" x14ac:dyDescent="0.2">
      <c r="B115" s="72"/>
      <c r="C115" s="63"/>
      <c r="D115" s="90" t="s">
        <v>3</v>
      </c>
      <c r="E115" s="68"/>
      <c r="F115" s="93">
        <f>SUM(F105:F114)</f>
        <v>107000</v>
      </c>
      <c r="G115" s="98"/>
    </row>
    <row r="116" spans="2:7" x14ac:dyDescent="0.2">
      <c r="B116" s="72"/>
      <c r="D116" s="91" t="str">
        <f>Assumptions!B45</f>
        <v>Contingency</v>
      </c>
      <c r="E116" s="95">
        <f>Assumptions!C45</f>
        <v>0.1</v>
      </c>
      <c r="F116" s="64">
        <f>+MROUND((F115)*E116,100)</f>
        <v>10700</v>
      </c>
      <c r="G116" s="77"/>
    </row>
    <row r="117" spans="2:7" x14ac:dyDescent="0.2">
      <c r="B117" s="72"/>
      <c r="D117" s="91" t="s">
        <v>3</v>
      </c>
      <c r="E117" s="66"/>
      <c r="F117" s="93">
        <f>SUM(F115:F116)</f>
        <v>117700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5900</v>
      </c>
      <c r="G119" s="77"/>
    </row>
    <row r="120" spans="2:7" x14ac:dyDescent="0.2">
      <c r="B120" s="72"/>
      <c r="D120" s="91" t="str">
        <f>Assumptions!B48</f>
        <v>Engineering - Planning/Consultation</v>
      </c>
      <c r="E120" s="96">
        <f>Assumptions!C48</f>
        <v>0.03</v>
      </c>
      <c r="F120" s="64">
        <f>+MROUND($F$117*E120,100)</f>
        <v>3500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127100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D10:D23 D75:D83 D45:D54 D105:D114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5" width="14.7109375" style="60" customWidth="1"/>
    <col min="6" max="6" width="18.7109375" style="60" bestFit="1"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546</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348180</v>
      </c>
      <c r="F9" s="64">
        <f>+MROUND(C9*E9,100)</f>
        <v>348200</v>
      </c>
      <c r="G9" s="77" t="str">
        <f>CONCATENATE(Assumptions!C9*100,"%"," ","of Other Items")</f>
        <v>5% of Other Items</v>
      </c>
      <c r="S9" s="147"/>
    </row>
    <row r="10" spans="2:19" x14ac:dyDescent="0.2">
      <c r="B10" s="50" t="str">
        <f>'FCW - D2'!B10</f>
        <v>FCW Module - Manufacturing and Shipping</v>
      </c>
      <c r="C10" s="51">
        <v>230000</v>
      </c>
      <c r="D10" s="55" t="str">
        <f>'FCW - D2'!D10</f>
        <v>Ea.</v>
      </c>
      <c r="E10" s="56">
        <f>'FCW - D2'!E10</f>
        <v>22</v>
      </c>
      <c r="F10" s="54">
        <f t="shared" ref="F10:F22" si="0">+MROUND(C10*E10,100)</f>
        <v>5060000</v>
      </c>
      <c r="G10" s="99" t="str">
        <f>'FCW - D2'!G10</f>
        <v>As quoted by Floating Wetland Solutions, February 2016</v>
      </c>
      <c r="S10" s="147"/>
    </row>
    <row r="11" spans="2:19" x14ac:dyDescent="0.2">
      <c r="B11" s="50" t="str">
        <f>'FCW - D2'!B11</f>
        <v>FCW Module - Installation</v>
      </c>
      <c r="C11" s="51">
        <v>5</v>
      </c>
      <c r="D11" s="55" t="str">
        <f>'FCW - D2'!D11</f>
        <v>Ea.</v>
      </c>
      <c r="E11" s="56">
        <f>'FCW - D2'!E11</f>
        <v>113000</v>
      </c>
      <c r="F11" s="54">
        <f t="shared" si="0"/>
        <v>565000</v>
      </c>
      <c r="G11" s="99" t="str">
        <f>'FCW - D2'!G11</f>
        <v>As quoted by Floating Wetland Solutions, February 2016</v>
      </c>
      <c r="S11" s="147"/>
    </row>
    <row r="12" spans="2:19" x14ac:dyDescent="0.2">
      <c r="B12" s="50" t="str">
        <f>'FCW - D2'!B12</f>
        <v>Anchors &amp; Mooring Ropes - Purchase and Shipping</v>
      </c>
      <c r="C12" s="51">
        <v>40</v>
      </c>
      <c r="D12" s="55" t="str">
        <f>'FCW - D2'!D12</f>
        <v>Ea.</v>
      </c>
      <c r="E12" s="56">
        <f>'FCW - D2'!E12</f>
        <v>1250</v>
      </c>
      <c r="F12" s="54">
        <f t="shared" si="0"/>
        <v>50000</v>
      </c>
      <c r="G12" s="99" t="str">
        <f>'FCW - D2'!G12</f>
        <v>Assumes four anchors &amp; ropes per island, 2 islands</v>
      </c>
      <c r="S12" s="147"/>
    </row>
    <row r="13" spans="2:19" x14ac:dyDescent="0.2">
      <c r="B13" s="50" t="str">
        <f>'FCW - D2'!B13</f>
        <v>Anchor &amp; Mooring Ropes - Install</v>
      </c>
      <c r="C13" s="51">
        <v>40</v>
      </c>
      <c r="D13" s="55" t="str">
        <f>'FCW - D2'!D13</f>
        <v>Ea.</v>
      </c>
      <c r="E13" s="56">
        <f>'FCW - D2'!E13</f>
        <v>90</v>
      </c>
      <c r="F13" s="54">
        <f t="shared" si="0"/>
        <v>3600</v>
      </c>
      <c r="G13" s="99" t="str">
        <f>'FCW - D2'!G13</f>
        <v>Based on labor provided for NYC project, August 2015</v>
      </c>
      <c r="S13" s="147"/>
    </row>
    <row r="14" spans="2:19" x14ac:dyDescent="0.2">
      <c r="B14" s="50" t="str">
        <f>'FCW - D2'!B14</f>
        <v>Plants - purchase and shipping</v>
      </c>
      <c r="C14" s="51">
        <v>230000</v>
      </c>
      <c r="D14" s="55" t="str">
        <f>'FCW - D2'!D14</f>
        <v>Ea.</v>
      </c>
      <c r="E14" s="56">
        <f>'FCW - D2'!E14</f>
        <v>3</v>
      </c>
      <c r="F14" s="54">
        <f t="shared" si="0"/>
        <v>690000</v>
      </c>
      <c r="G14" s="99" t="str">
        <f>'FCW - D2'!G14</f>
        <v>Assumes local nursery with multiple shipping</v>
      </c>
      <c r="S14" s="147"/>
    </row>
    <row r="15" spans="2:19" x14ac:dyDescent="0.2">
      <c r="B15" s="50" t="str">
        <f>'FCW - D2'!B15</f>
        <v>Plants - staging and install</v>
      </c>
      <c r="C15" s="51">
        <v>230000</v>
      </c>
      <c r="D15" s="55" t="str">
        <f>'FCW - D2'!D15</f>
        <v>Ea.</v>
      </c>
      <c r="E15" s="56">
        <f>'FCW - D2'!E15</f>
        <v>2</v>
      </c>
      <c r="F15" s="54">
        <f t="shared" si="0"/>
        <v>460000</v>
      </c>
      <c r="G15" s="99" t="str">
        <f>'FCW - D2'!G15</f>
        <v>2" plugs (one per sq. ft.)</v>
      </c>
      <c r="S15" s="147"/>
    </row>
    <row r="16" spans="2:19" x14ac:dyDescent="0.2">
      <c r="B16" s="50" t="str">
        <f>'FCW - D2'!B16</f>
        <v>Freight</v>
      </c>
      <c r="C16" s="51">
        <v>5</v>
      </c>
      <c r="D16" s="55" t="str">
        <f>'FCW - D2'!D16</f>
        <v>Allow.</v>
      </c>
      <c r="E16" s="56">
        <f>'FCW - D2'!E16</f>
        <v>25000</v>
      </c>
      <c r="F16" s="54">
        <f t="shared" si="0"/>
        <v>125000</v>
      </c>
      <c r="G16" s="99" t="str">
        <f>'FCW - D2'!G16</f>
        <v>10 truckloads</v>
      </c>
      <c r="S16" s="147"/>
    </row>
    <row r="17" spans="2:19" x14ac:dyDescent="0.2">
      <c r="B17" s="50" t="str">
        <f>'FCW - D2'!B17</f>
        <v>Waterfowl Fencing</v>
      </c>
      <c r="C17" s="51">
        <v>10</v>
      </c>
      <c r="D17" s="55" t="str">
        <f>'FCW - D2'!D17</f>
        <v>L.F.</v>
      </c>
      <c r="E17" s="56">
        <f>'FCW - D2'!E17</f>
        <v>1000</v>
      </c>
      <c r="F17" s="54">
        <f t="shared" si="0"/>
        <v>10000</v>
      </c>
      <c r="G17" s="99" t="str">
        <f>'FCW - D2'!G17</f>
        <v>Assumes stringing and plastic fencing for 16,250 lf/island</v>
      </c>
      <c r="S17" s="147"/>
    </row>
    <row r="18" spans="2:19" x14ac:dyDescent="0.2">
      <c r="B18" s="50" t="str">
        <f>'FCW - D2'!B18</f>
        <v/>
      </c>
      <c r="C18" s="51">
        <v>0</v>
      </c>
      <c r="D18" s="55">
        <f>'FCW - D2'!D18</f>
        <v>0</v>
      </c>
      <c r="E18" s="56">
        <f>'FCW - D2'!E18</f>
        <v>0</v>
      </c>
      <c r="F18" s="54">
        <f t="shared" si="0"/>
        <v>0</v>
      </c>
      <c r="G18" s="99" t="s">
        <v>11</v>
      </c>
      <c r="S18" s="147"/>
    </row>
    <row r="19" spans="2:19" x14ac:dyDescent="0.2">
      <c r="B19" s="50" t="str">
        <f>'FCW - D2'!B19</f>
        <v/>
      </c>
      <c r="C19" s="51">
        <v>0</v>
      </c>
      <c r="D19" s="55">
        <f>'FCW - D2'!D19</f>
        <v>0</v>
      </c>
      <c r="E19" s="56">
        <f>'FCW - D2'!E19</f>
        <v>0</v>
      </c>
      <c r="F19" s="54">
        <f t="shared" si="0"/>
        <v>0</v>
      </c>
      <c r="G19" s="99" t="s">
        <v>11</v>
      </c>
      <c r="S19" s="147"/>
    </row>
    <row r="20" spans="2:19" x14ac:dyDescent="0.2">
      <c r="B20" s="50" t="str">
        <f>'FCW - D2'!B20</f>
        <v/>
      </c>
      <c r="C20" s="51">
        <v>0</v>
      </c>
      <c r="D20" s="55">
        <f>'FCW - D2'!D20</f>
        <v>0</v>
      </c>
      <c r="E20" s="56">
        <f>'FCW - D2'!E20</f>
        <v>0</v>
      </c>
      <c r="F20" s="54">
        <f t="shared" si="0"/>
        <v>0</v>
      </c>
      <c r="G20" s="99" t="s">
        <v>11</v>
      </c>
      <c r="S20" s="147"/>
    </row>
    <row r="21" spans="2:19" x14ac:dyDescent="0.2">
      <c r="B21" s="50" t="str">
        <f>'FCW - D2'!B21</f>
        <v/>
      </c>
      <c r="C21" s="51">
        <v>0</v>
      </c>
      <c r="D21" s="55">
        <f>'FCW - D2'!D21</f>
        <v>0</v>
      </c>
      <c r="E21" s="56">
        <f>'FCW - D2'!E21</f>
        <v>0</v>
      </c>
      <c r="F21" s="54">
        <f t="shared" si="0"/>
        <v>0</v>
      </c>
      <c r="G21" s="99" t="s">
        <v>11</v>
      </c>
      <c r="S21" s="147"/>
    </row>
    <row r="22" spans="2:19" x14ac:dyDescent="0.2">
      <c r="B22" s="50" t="str">
        <f>'FCW - D2'!B22</f>
        <v/>
      </c>
      <c r="C22" s="51">
        <v>0</v>
      </c>
      <c r="D22" s="55">
        <f>'FCW - D2'!D22</f>
        <v>0</v>
      </c>
      <c r="E22" s="56">
        <f>'FCW - D2'!E22</f>
        <v>0</v>
      </c>
      <c r="F22" s="54">
        <f t="shared" si="0"/>
        <v>0</v>
      </c>
      <c r="G22" s="99" t="s">
        <v>11</v>
      </c>
      <c r="S22" s="147"/>
    </row>
    <row r="23" spans="2:19" ht="25.5" x14ac:dyDescent="0.2">
      <c r="B23" s="50" t="str">
        <f>'FCW - D2'!B23</f>
        <v/>
      </c>
      <c r="C23" s="51">
        <v>0</v>
      </c>
      <c r="D23" s="55">
        <f>'FCW - D2'!D23</f>
        <v>0</v>
      </c>
      <c r="E23" s="56">
        <f>'FCW - D2'!E23</f>
        <v>0</v>
      </c>
      <c r="F23" s="54">
        <f t="shared" ref="F23" si="1">+MROUND(C23*E23,1000)</f>
        <v>0</v>
      </c>
      <c r="G23" s="99" t="s">
        <v>265</v>
      </c>
      <c r="S23" s="147"/>
    </row>
    <row r="24" spans="2:19" x14ac:dyDescent="0.2">
      <c r="B24" s="72"/>
      <c r="C24" s="63"/>
      <c r="D24" s="90" t="s">
        <v>3</v>
      </c>
      <c r="E24" s="68"/>
      <c r="F24" s="93">
        <f>+SUM(F9:F23)</f>
        <v>7311800</v>
      </c>
      <c r="G24" s="98"/>
    </row>
    <row r="25" spans="2:19" x14ac:dyDescent="0.2">
      <c r="B25" s="72"/>
      <c r="D25" s="91" t="str">
        <f>Assumptions!B10</f>
        <v>Overhead and Profit</v>
      </c>
      <c r="E25" s="95">
        <f>Assumptions!C10</f>
        <v>0.22</v>
      </c>
      <c r="F25" s="67">
        <f>+MROUND(F24*E25,100)</f>
        <v>1608600</v>
      </c>
      <c r="G25" s="77"/>
    </row>
    <row r="26" spans="2:19" x14ac:dyDescent="0.2">
      <c r="B26" s="72"/>
      <c r="D26" s="91" t="s">
        <v>3</v>
      </c>
      <c r="E26" s="66"/>
      <c r="F26" s="92">
        <f>F25+F24</f>
        <v>8920400</v>
      </c>
      <c r="G26" s="77"/>
    </row>
    <row r="27" spans="2:19" x14ac:dyDescent="0.2">
      <c r="B27" s="72"/>
      <c r="D27" s="91" t="str">
        <f>Assumptions!B11</f>
        <v>Contingency</v>
      </c>
      <c r="E27" s="96">
        <f>Assumptions!C11</f>
        <v>0.25</v>
      </c>
      <c r="F27" s="64">
        <f>+MROUND((F26)*E27,100)</f>
        <v>2230100</v>
      </c>
      <c r="G27" s="77"/>
    </row>
    <row r="28" spans="2:19" x14ac:dyDescent="0.2">
      <c r="B28" s="72"/>
      <c r="D28" s="91" t="s">
        <v>36</v>
      </c>
      <c r="E28" s="96"/>
      <c r="F28" s="93">
        <f>SUM(F26:F27)</f>
        <v>11150500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557500</v>
      </c>
      <c r="G30" s="77"/>
    </row>
    <row r="31" spans="2:19" x14ac:dyDescent="0.2">
      <c r="B31" s="72"/>
      <c r="D31" s="91" t="str">
        <f>Assumptions!B14</f>
        <v>Engineering - Planning/Consultation</v>
      </c>
      <c r="E31" s="96">
        <f>Assumptions!C14</f>
        <v>0.05</v>
      </c>
      <c r="F31" s="64">
        <f t="shared" ref="F31:F33" si="2">+MROUND($F$28*E31,100)</f>
        <v>557500</v>
      </c>
      <c r="G31" s="77"/>
    </row>
    <row r="32" spans="2:19" x14ac:dyDescent="0.2">
      <c r="B32" s="72"/>
      <c r="D32" s="91" t="str">
        <f>Assumptions!B15</f>
        <v>Engineering - Design</v>
      </c>
      <c r="E32" s="96">
        <f>Assumptions!C15</f>
        <v>0.1</v>
      </c>
      <c r="F32" s="64">
        <f t="shared" si="2"/>
        <v>1115100</v>
      </c>
      <c r="G32" s="77"/>
    </row>
    <row r="33" spans="2:7" x14ac:dyDescent="0.2">
      <c r="B33" s="72"/>
      <c r="D33" s="91" t="str">
        <f>Assumptions!B16</f>
        <v>Engineering - Construction</v>
      </c>
      <c r="E33" s="96">
        <f>Assumptions!C16</f>
        <v>0.15</v>
      </c>
      <c r="F33" s="64">
        <f t="shared" si="2"/>
        <v>1672600</v>
      </c>
      <c r="G33" s="77"/>
    </row>
    <row r="34" spans="2:7" x14ac:dyDescent="0.2">
      <c r="B34" s="32"/>
      <c r="C34" s="63"/>
      <c r="D34" s="94" t="s">
        <v>19</v>
      </c>
      <c r="E34" s="68"/>
      <c r="F34" s="124">
        <f>SUM(F28:F33)</f>
        <v>15053200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Floating Constructed Wetlands - Site 1 - Cost Efficacy to Be Validated</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tr">
        <f>'FCW - D2'!B45</f>
        <v>Seasonal Site Review and Maintenance</v>
      </c>
      <c r="C45" s="51">
        <v>10</v>
      </c>
      <c r="D45" s="55" t="str">
        <f>'FCW - D2'!D45</f>
        <v>Ea.</v>
      </c>
      <c r="E45" s="56">
        <f>'FCW - D2'!E45</f>
        <v>6000</v>
      </c>
      <c r="F45" s="54">
        <f t="shared" ref="F45" si="3">+MROUND(C45*E45,100)</f>
        <v>60000</v>
      </c>
      <c r="G45" s="99" t="str">
        <f>'FCW - D2'!G45</f>
        <v>Annual Cost - to occur each spring and fall</v>
      </c>
    </row>
    <row r="46" spans="2:7" x14ac:dyDescent="0.2">
      <c r="B46" s="50" t="str">
        <f>'FCW - D2'!B46</f>
        <v/>
      </c>
      <c r="C46" s="51">
        <v>0</v>
      </c>
      <c r="D46" s="55">
        <f>'FCW - D2'!D46</f>
        <v>0</v>
      </c>
      <c r="E46" s="56">
        <f>'FCW - D2'!E46</f>
        <v>0</v>
      </c>
      <c r="F46" s="54">
        <f t="shared" ref="F46:F54" si="4">+MROUND(C46*E46,100)</f>
        <v>0</v>
      </c>
      <c r="G46" s="99" t="str">
        <f>'FCW - D2'!G46</f>
        <v/>
      </c>
    </row>
    <row r="47" spans="2:7" x14ac:dyDescent="0.2">
      <c r="B47" s="50" t="str">
        <f>'FCW - D2'!B47</f>
        <v/>
      </c>
      <c r="C47" s="51">
        <v>0</v>
      </c>
      <c r="D47" s="55">
        <f>'FCW - D2'!D47</f>
        <v>0</v>
      </c>
      <c r="E47" s="56">
        <f>'FCW - D2'!E47</f>
        <v>0</v>
      </c>
      <c r="F47" s="54">
        <f t="shared" si="4"/>
        <v>0</v>
      </c>
      <c r="G47" s="99" t="str">
        <f>'FCW - D2'!G47</f>
        <v/>
      </c>
    </row>
    <row r="48" spans="2:7" x14ac:dyDescent="0.2">
      <c r="B48" s="50" t="str">
        <f>'FCW - D2'!B48</f>
        <v/>
      </c>
      <c r="C48" s="51">
        <v>0</v>
      </c>
      <c r="D48" s="55">
        <f>'FCW - D2'!D48</f>
        <v>0</v>
      </c>
      <c r="E48" s="56">
        <f>'FCW - D2'!E48</f>
        <v>0</v>
      </c>
      <c r="F48" s="54">
        <f t="shared" si="4"/>
        <v>0</v>
      </c>
      <c r="G48" s="99" t="str">
        <f>'FCW - D2'!G48</f>
        <v/>
      </c>
    </row>
    <row r="49" spans="2:7" x14ac:dyDescent="0.2">
      <c r="B49" s="50" t="str">
        <f>'FCW - D2'!B49</f>
        <v/>
      </c>
      <c r="C49" s="51">
        <v>0</v>
      </c>
      <c r="D49" s="55">
        <f>'FCW - D2'!D49</f>
        <v>0</v>
      </c>
      <c r="E49" s="56">
        <f>'FCW - D2'!E49</f>
        <v>0</v>
      </c>
      <c r="F49" s="54">
        <f t="shared" si="4"/>
        <v>0</v>
      </c>
      <c r="G49" s="99" t="str">
        <f>'FCW - D2'!G49</f>
        <v/>
      </c>
    </row>
    <row r="50" spans="2:7" x14ac:dyDescent="0.2">
      <c r="B50" s="50" t="str">
        <f>'FCW - D2'!B50</f>
        <v/>
      </c>
      <c r="C50" s="51">
        <v>0</v>
      </c>
      <c r="D50" s="55">
        <f>'FCW - D2'!D50</f>
        <v>0</v>
      </c>
      <c r="E50" s="56">
        <f>'FCW - D2'!E50</f>
        <v>0</v>
      </c>
      <c r="F50" s="54">
        <f t="shared" si="4"/>
        <v>0</v>
      </c>
      <c r="G50" s="99" t="str">
        <f>'FCW - D2'!G50</f>
        <v/>
      </c>
    </row>
    <row r="51" spans="2:7" x14ac:dyDescent="0.2">
      <c r="B51" s="50" t="str">
        <f>'FCW - D2'!B51</f>
        <v/>
      </c>
      <c r="C51" s="51">
        <v>0</v>
      </c>
      <c r="D51" s="55">
        <f>'FCW - D2'!D51</f>
        <v>0</v>
      </c>
      <c r="E51" s="56">
        <f>'FCW - D2'!E51</f>
        <v>0</v>
      </c>
      <c r="F51" s="54">
        <f t="shared" si="4"/>
        <v>0</v>
      </c>
      <c r="G51" s="99" t="str">
        <f>'FCW - D2'!G51</f>
        <v/>
      </c>
    </row>
    <row r="52" spans="2:7" x14ac:dyDescent="0.2">
      <c r="B52" s="50" t="str">
        <f>'FCW - D2'!B52</f>
        <v/>
      </c>
      <c r="C52" s="51">
        <v>0</v>
      </c>
      <c r="D52" s="55">
        <f>'FCW - D2'!D52</f>
        <v>0</v>
      </c>
      <c r="E52" s="56">
        <f>'FCW - D2'!E52</f>
        <v>0</v>
      </c>
      <c r="F52" s="54">
        <f t="shared" si="4"/>
        <v>0</v>
      </c>
      <c r="G52" s="99" t="str">
        <f>'FCW - D2'!G52</f>
        <v/>
      </c>
    </row>
    <row r="53" spans="2:7" x14ac:dyDescent="0.2">
      <c r="B53" s="50" t="str">
        <f>'FCW - D2'!B53</f>
        <v/>
      </c>
      <c r="C53" s="51">
        <v>0</v>
      </c>
      <c r="D53" s="55">
        <f>'FCW - D2'!D53</f>
        <v>0</v>
      </c>
      <c r="E53" s="56">
        <f>'FCW - D2'!E53</f>
        <v>0</v>
      </c>
      <c r="F53" s="54">
        <f t="shared" si="4"/>
        <v>0</v>
      </c>
      <c r="G53" s="99" t="str">
        <f>'FCW - D2'!G53</f>
        <v/>
      </c>
    </row>
    <row r="54" spans="2:7" ht="25.5" x14ac:dyDescent="0.2">
      <c r="B54" s="50" t="str">
        <f>'FCW - D2'!B54</f>
        <v/>
      </c>
      <c r="C54" s="51">
        <v>0</v>
      </c>
      <c r="D54" s="55">
        <f>'FCW - D2'!D54</f>
        <v>0</v>
      </c>
      <c r="E54" s="56">
        <f>'FCW - D2'!E54</f>
        <v>0</v>
      </c>
      <c r="F54" s="54">
        <f t="shared" si="4"/>
        <v>0</v>
      </c>
      <c r="G54" s="99" t="s">
        <v>265</v>
      </c>
    </row>
    <row r="55" spans="2:7" x14ac:dyDescent="0.2">
      <c r="B55" s="72"/>
      <c r="C55" s="63"/>
      <c r="D55" s="90" t="s">
        <v>3</v>
      </c>
      <c r="E55" s="68"/>
      <c r="F55" s="93">
        <f>SUM(F45:F54)</f>
        <v>60000</v>
      </c>
      <c r="G55" s="98"/>
    </row>
    <row r="56" spans="2:7" x14ac:dyDescent="0.2">
      <c r="B56" s="72"/>
      <c r="D56" s="91" t="str">
        <f>Assumptions!B21</f>
        <v>Contingency</v>
      </c>
      <c r="E56" s="95">
        <f>Assumptions!C21</f>
        <v>0.1</v>
      </c>
      <c r="F56" s="64">
        <f>+MROUND((F55)*E56,100)</f>
        <v>6000</v>
      </c>
      <c r="G56" s="77"/>
    </row>
    <row r="57" spans="2:7" x14ac:dyDescent="0.2">
      <c r="B57" s="72"/>
      <c r="D57" s="91" t="s">
        <v>3</v>
      </c>
      <c r="E57" s="66"/>
      <c r="F57" s="93">
        <f>SUM(F55:F56)</f>
        <v>66000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2000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68000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Floating Constructed Wetlands - Site 1 - Cost Efficacy to Be Validated</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3125</v>
      </c>
      <c r="F74" s="111">
        <f>+MROUND(C74*E74,100)</f>
        <v>3100</v>
      </c>
      <c r="G74" s="112" t="str">
        <f>CONCATENATE(Assumptions!C33*100,"%"," ","of Other Items")</f>
        <v>5% of Other Items</v>
      </c>
    </row>
    <row r="75" spans="2:7" x14ac:dyDescent="0.2">
      <c r="B75" s="50" t="str">
        <f>'FCW - D2'!B75</f>
        <v>Plantings</v>
      </c>
      <c r="C75" s="51">
        <v>11500</v>
      </c>
      <c r="D75" s="55" t="str">
        <f>'FCW - D2'!D75</f>
        <v>Ea.</v>
      </c>
      <c r="E75" s="56">
        <f>'FCW - D2'!E75</f>
        <v>3</v>
      </c>
      <c r="F75" s="54">
        <f t="shared" ref="F75" si="5">+MROUND(C75*E75,100)</f>
        <v>34500</v>
      </c>
      <c r="G75" s="99" t="str">
        <f>'FCW - D2'!G75</f>
        <v>5% of Initial Plantings</v>
      </c>
    </row>
    <row r="76" spans="2:7" x14ac:dyDescent="0.2">
      <c r="B76" s="50" t="str">
        <f>'FCW - D2'!B76</f>
        <v>Site review and replanting</v>
      </c>
      <c r="C76" s="51">
        <v>4</v>
      </c>
      <c r="D76" s="55" t="str">
        <f>'FCW - D2'!D76</f>
        <v>L.S.</v>
      </c>
      <c r="E76" s="56">
        <f>'FCW - D2'!E76</f>
        <v>6000</v>
      </c>
      <c r="F76" s="54">
        <f t="shared" ref="F76:F83" si="6">+MROUND(C76*E76,100)</f>
        <v>24000</v>
      </c>
      <c r="G76" s="99" t="str">
        <f>'FCW - D2'!G76</f>
        <v/>
      </c>
    </row>
    <row r="77" spans="2:7" x14ac:dyDescent="0.2">
      <c r="B77" s="50" t="str">
        <f>'FCW - D2'!B77</f>
        <v>Waterfowl Fencing</v>
      </c>
      <c r="C77" s="51">
        <v>4</v>
      </c>
      <c r="D77" s="55" t="str">
        <f>'FCW - D2'!D77</f>
        <v>Ea.</v>
      </c>
      <c r="E77" s="56">
        <f>'FCW - D2'!E77</f>
        <v>1000</v>
      </c>
      <c r="F77" s="54">
        <f t="shared" si="6"/>
        <v>4000</v>
      </c>
      <c r="G77" s="99" t="str">
        <f>'FCW - D2'!G77</f>
        <v/>
      </c>
    </row>
    <row r="78" spans="2:7" x14ac:dyDescent="0.2">
      <c r="B78" s="50" t="str">
        <f>'FCW - D2'!B78</f>
        <v/>
      </c>
      <c r="C78" s="51">
        <v>0</v>
      </c>
      <c r="D78" s="55">
        <f>'FCW - D2'!D78</f>
        <v>0</v>
      </c>
      <c r="E78" s="56">
        <f>'FCW - D2'!E78</f>
        <v>0</v>
      </c>
      <c r="F78" s="54">
        <f t="shared" si="6"/>
        <v>0</v>
      </c>
      <c r="G78" s="99" t="str">
        <f>'FCW - D2'!G78</f>
        <v/>
      </c>
    </row>
    <row r="79" spans="2:7" x14ac:dyDescent="0.2">
      <c r="B79" s="50" t="str">
        <f>'FCW - D2'!B79</f>
        <v/>
      </c>
      <c r="C79" s="51">
        <v>0</v>
      </c>
      <c r="D79" s="55">
        <f>'FCW - D2'!D79</f>
        <v>0</v>
      </c>
      <c r="E79" s="56">
        <f>'FCW - D2'!E79</f>
        <v>0</v>
      </c>
      <c r="F79" s="54">
        <f t="shared" si="6"/>
        <v>0</v>
      </c>
      <c r="G79" s="99" t="str">
        <f>'FCW - D2'!G79</f>
        <v/>
      </c>
    </row>
    <row r="80" spans="2:7" x14ac:dyDescent="0.2">
      <c r="B80" s="50" t="str">
        <f>'FCW - D2'!B80</f>
        <v/>
      </c>
      <c r="C80" s="51">
        <v>0</v>
      </c>
      <c r="D80" s="55">
        <f>'FCW - D2'!D80</f>
        <v>0</v>
      </c>
      <c r="E80" s="56">
        <f>'FCW - D2'!E80</f>
        <v>0</v>
      </c>
      <c r="F80" s="54">
        <f t="shared" si="6"/>
        <v>0</v>
      </c>
      <c r="G80" s="99" t="str">
        <f>'FCW - D2'!G80</f>
        <v/>
      </c>
    </row>
    <row r="81" spans="2:7" x14ac:dyDescent="0.2">
      <c r="B81" s="50" t="str">
        <f>'FCW - D2'!B81</f>
        <v/>
      </c>
      <c r="C81" s="51">
        <v>0</v>
      </c>
      <c r="D81" s="55">
        <f>'FCW - D2'!D81</f>
        <v>0</v>
      </c>
      <c r="E81" s="56">
        <f>'FCW - D2'!E81</f>
        <v>0</v>
      </c>
      <c r="F81" s="54">
        <f t="shared" si="6"/>
        <v>0</v>
      </c>
      <c r="G81" s="99" t="str">
        <f>'FCW - D2'!G81</f>
        <v/>
      </c>
    </row>
    <row r="82" spans="2:7" x14ac:dyDescent="0.2">
      <c r="B82" s="50" t="str">
        <f>'FCW - D2'!B82</f>
        <v/>
      </c>
      <c r="C82" s="51">
        <v>0</v>
      </c>
      <c r="D82" s="55">
        <f>'FCW - D2'!D82</f>
        <v>0</v>
      </c>
      <c r="E82" s="56">
        <f>'FCW - D2'!E82</f>
        <v>0</v>
      </c>
      <c r="F82" s="54">
        <f t="shared" si="6"/>
        <v>0</v>
      </c>
      <c r="G82" s="99" t="str">
        <f>'FCW - D2'!G82</f>
        <v/>
      </c>
    </row>
    <row r="83" spans="2:7" ht="25.5" x14ac:dyDescent="0.2">
      <c r="B83" s="50" t="str">
        <f>'FCW - D2'!B83</f>
        <v/>
      </c>
      <c r="C83" s="51">
        <v>0</v>
      </c>
      <c r="D83" s="55">
        <f>'FCW - D2'!D83</f>
        <v>0</v>
      </c>
      <c r="E83" s="56">
        <f>'FCW - D2'!E83</f>
        <v>0</v>
      </c>
      <c r="F83" s="54">
        <f t="shared" si="6"/>
        <v>0</v>
      </c>
      <c r="G83" s="99" t="s">
        <v>265</v>
      </c>
    </row>
    <row r="84" spans="2:7" x14ac:dyDescent="0.2">
      <c r="B84" s="72"/>
      <c r="C84" s="63"/>
      <c r="D84" s="90" t="s">
        <v>3</v>
      </c>
      <c r="E84" s="68"/>
      <c r="F84" s="93">
        <f>SUM(F74:F83)</f>
        <v>65600</v>
      </c>
      <c r="G84" s="98"/>
    </row>
    <row r="85" spans="2:7" x14ac:dyDescent="0.2">
      <c r="B85" s="72"/>
      <c r="D85" s="91" t="str">
        <f>Assumptions!B34</f>
        <v>Overhead and Profit</v>
      </c>
      <c r="E85" s="95">
        <f>Assumptions!C34</f>
        <v>0.22</v>
      </c>
      <c r="F85" s="67">
        <f>+MROUND(F84*E85,100)</f>
        <v>14400</v>
      </c>
      <c r="G85" s="77"/>
    </row>
    <row r="86" spans="2:7" x14ac:dyDescent="0.2">
      <c r="B86" s="72"/>
      <c r="D86" s="91" t="s">
        <v>3</v>
      </c>
      <c r="E86" s="66"/>
      <c r="F86" s="92">
        <f>F85+F84</f>
        <v>80000</v>
      </c>
      <c r="G86" s="77"/>
    </row>
    <row r="87" spans="2:7" x14ac:dyDescent="0.2">
      <c r="B87" s="72"/>
      <c r="D87" s="91" t="str">
        <f>Assumptions!B35</f>
        <v>Contingency</v>
      </c>
      <c r="E87" s="96">
        <f>Assumptions!C35</f>
        <v>0.3</v>
      </c>
      <c r="F87" s="64">
        <f>+MROUND((F86)*E87,100)</f>
        <v>24000</v>
      </c>
      <c r="G87" s="77"/>
    </row>
    <row r="88" spans="2:7" x14ac:dyDescent="0.2">
      <c r="B88" s="72"/>
      <c r="D88" s="91" t="s">
        <v>36</v>
      </c>
      <c r="E88" s="66"/>
      <c r="F88" s="93">
        <f>SUM(F86:F87)</f>
        <v>104000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3100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10400</v>
      </c>
      <c r="G92" s="77"/>
    </row>
    <row r="93" spans="2:7" x14ac:dyDescent="0.2">
      <c r="B93" s="72"/>
      <c r="D93" s="91" t="str">
        <f>Assumptions!B40</f>
        <v>Engineering - Construction</v>
      </c>
      <c r="E93" s="96">
        <f>Assumptions!C40</f>
        <v>0.15</v>
      </c>
      <c r="F93" s="64">
        <f>+MROUND($F$88*E93,100)</f>
        <v>15600</v>
      </c>
      <c r="G93" s="77"/>
    </row>
    <row r="94" spans="2:7" x14ac:dyDescent="0.2">
      <c r="B94" s="32"/>
      <c r="C94" s="63"/>
      <c r="D94" s="94" t="s">
        <v>58</v>
      </c>
      <c r="E94" s="68"/>
      <c r="F94" s="124">
        <f>SUM(F88:F93)</f>
        <v>133100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Floating Constructed Wetlands - Site 1 - Cost Efficacy to Be Validated</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tr">
        <f>'FCW - D2'!B105</f>
        <v>Monthly Field Visits</v>
      </c>
      <c r="C105" s="51">
        <v>12</v>
      </c>
      <c r="D105" s="55" t="str">
        <f>'FCW - D2'!D105</f>
        <v>Ea.</v>
      </c>
      <c r="E105" s="56">
        <v>3200</v>
      </c>
      <c r="F105" s="54">
        <f t="shared" ref="F105:F114" si="7">+MROUND(C105*E105,100)</f>
        <v>38400</v>
      </c>
      <c r="G105" s="99" t="str">
        <f>'FCW - D2'!G105</f>
        <v>Assume 2 people, $100/hour, two 8-hour days</v>
      </c>
    </row>
    <row r="106" spans="2:7" x14ac:dyDescent="0.2">
      <c r="B106" s="50" t="str">
        <f>'FCW - D2'!B106</f>
        <v>Water Quality Samples</v>
      </c>
      <c r="C106" s="51">
        <v>80</v>
      </c>
      <c r="D106" s="55" t="str">
        <f>'FCW - D2'!D106</f>
        <v>Ea.</v>
      </c>
      <c r="E106" s="56">
        <f>'FCW - D2'!E106</f>
        <v>450</v>
      </c>
      <c r="F106" s="54">
        <f t="shared" si="7"/>
        <v>36000</v>
      </c>
      <c r="G106" s="99" t="str">
        <f>'FCW - D2'!G106</f>
        <v>Assumes 4 samples each month</v>
      </c>
    </row>
    <row r="107" spans="2:7" x14ac:dyDescent="0.2">
      <c r="B107" s="50" t="str">
        <f>'FCW - D2'!B107</f>
        <v>Dataloggers</v>
      </c>
      <c r="C107" s="51">
        <v>20</v>
      </c>
      <c r="D107" s="55" t="str">
        <f>'FCW - D2'!D107</f>
        <v>Ea.</v>
      </c>
      <c r="E107" s="56">
        <f>'FCW - D2'!E107</f>
        <v>8000</v>
      </c>
      <c r="F107" s="54">
        <f t="shared" si="7"/>
        <v>160000</v>
      </c>
      <c r="G107" s="99" t="str">
        <f>'FCW - D2'!G107</f>
        <v>Assumes one on each side of 2 islands</v>
      </c>
    </row>
    <row r="108" spans="2:7" x14ac:dyDescent="0.2">
      <c r="B108" s="50" t="str">
        <f>'FCW - D2'!B108</f>
        <v>Download &amp; Analysis of Dataloggers</v>
      </c>
      <c r="C108" s="51">
        <f>('FCW - D2'!C108/0.7)*5</f>
        <v>0</v>
      </c>
      <c r="D108" s="55" t="str">
        <f>'FCW - D2'!D108</f>
        <v>Ea.</v>
      </c>
      <c r="E108" s="56">
        <f>'FCW - D2'!E108</f>
        <v>0</v>
      </c>
      <c r="F108" s="54">
        <f t="shared" si="7"/>
        <v>0</v>
      </c>
      <c r="G108" s="99" t="str">
        <f>'FCW - D2'!G108</f>
        <v/>
      </c>
    </row>
    <row r="109" spans="2:7" x14ac:dyDescent="0.2">
      <c r="B109" s="50" t="str">
        <f>'FCW - D2'!B109</f>
        <v>Biomass Sampling &amp; Analysis</v>
      </c>
      <c r="C109" s="51">
        <v>5</v>
      </c>
      <c r="D109" s="55" t="str">
        <f>'FCW - D2'!D109</f>
        <v>Ea.</v>
      </c>
      <c r="E109" s="56">
        <f>'FCW - D2'!E109</f>
        <v>15000</v>
      </c>
      <c r="F109" s="54">
        <f t="shared" si="7"/>
        <v>75000</v>
      </c>
      <c r="G109" s="99" t="str">
        <f>'FCW - D2'!G109</f>
        <v>Based on sampling performed for Baltimore Harbor</v>
      </c>
    </row>
    <row r="110" spans="2:7" x14ac:dyDescent="0.2">
      <c r="B110" s="50" t="str">
        <f>'FCW - D2'!B110</f>
        <v/>
      </c>
      <c r="C110" s="51">
        <f>('FCW - D2'!C110/0.7)*5</f>
        <v>0</v>
      </c>
      <c r="D110" s="55">
        <f>'FCW - D2'!D110</f>
        <v>0</v>
      </c>
      <c r="E110" s="56">
        <f>'FCW - D2'!E110</f>
        <v>0</v>
      </c>
      <c r="F110" s="54">
        <f t="shared" si="7"/>
        <v>0</v>
      </c>
      <c r="G110" s="99" t="str">
        <f>'FCW - D2'!G110</f>
        <v/>
      </c>
    </row>
    <row r="111" spans="2:7" x14ac:dyDescent="0.2">
      <c r="B111" s="50" t="str">
        <f>'FCW - D2'!B111</f>
        <v/>
      </c>
      <c r="C111" s="51">
        <f>('FCW - D2'!C111/0.7)*5</f>
        <v>0</v>
      </c>
      <c r="D111" s="55">
        <f>'FCW - D2'!D111</f>
        <v>0</v>
      </c>
      <c r="E111" s="56">
        <f>'FCW - D2'!E111</f>
        <v>0</v>
      </c>
      <c r="F111" s="54">
        <f t="shared" si="7"/>
        <v>0</v>
      </c>
      <c r="G111" s="99" t="str">
        <f>'FCW - D2'!G111</f>
        <v/>
      </c>
    </row>
    <row r="112" spans="2:7" x14ac:dyDescent="0.2">
      <c r="B112" s="50" t="str">
        <f>'FCW - D2'!B112</f>
        <v/>
      </c>
      <c r="C112" s="51">
        <f>('FCW - D2'!C112/0.7)*5</f>
        <v>0</v>
      </c>
      <c r="D112" s="55">
        <f>'FCW - D2'!D112</f>
        <v>0</v>
      </c>
      <c r="E112" s="56">
        <f>'FCW - D2'!E112</f>
        <v>0</v>
      </c>
      <c r="F112" s="54">
        <f t="shared" si="7"/>
        <v>0</v>
      </c>
      <c r="G112" s="99" t="str">
        <f>'FCW - D2'!G112</f>
        <v/>
      </c>
    </row>
    <row r="113" spans="2:7" x14ac:dyDescent="0.2">
      <c r="B113" s="50" t="str">
        <f>'FCW - D2'!B113</f>
        <v/>
      </c>
      <c r="C113" s="51">
        <f>('FCW - D2'!C113/0.7)*5</f>
        <v>0</v>
      </c>
      <c r="D113" s="55">
        <f>'FCW - D2'!D113</f>
        <v>0</v>
      </c>
      <c r="E113" s="56">
        <f>'FCW - D2'!E113</f>
        <v>0</v>
      </c>
      <c r="F113" s="54">
        <f t="shared" si="7"/>
        <v>0</v>
      </c>
      <c r="G113" s="99" t="str">
        <f>'FCW - D2'!G113</f>
        <v/>
      </c>
    </row>
    <row r="114" spans="2:7" x14ac:dyDescent="0.2">
      <c r="B114" s="50" t="str">
        <f>'FCW - D2'!B114</f>
        <v/>
      </c>
      <c r="C114" s="51">
        <f>('FCW - D2'!C114/0.7)*5</f>
        <v>0</v>
      </c>
      <c r="D114" s="55">
        <f>'FCW - D2'!D114</f>
        <v>0</v>
      </c>
      <c r="E114" s="56">
        <f>'FCW - D2'!E114</f>
        <v>0</v>
      </c>
      <c r="F114" s="54">
        <f t="shared" si="7"/>
        <v>0</v>
      </c>
      <c r="G114" s="99" t="str">
        <f>'FCW - D2'!G114</f>
        <v/>
      </c>
    </row>
    <row r="115" spans="2:7" x14ac:dyDescent="0.2">
      <c r="B115" s="72"/>
      <c r="C115" s="63"/>
      <c r="D115" s="90" t="s">
        <v>3</v>
      </c>
      <c r="E115" s="68"/>
      <c r="F115" s="93">
        <f>SUM(F105:F114)</f>
        <v>309400</v>
      </c>
      <c r="G115" s="98"/>
    </row>
    <row r="116" spans="2:7" x14ac:dyDescent="0.2">
      <c r="B116" s="72"/>
      <c r="D116" s="91" t="str">
        <f>Assumptions!B45</f>
        <v>Contingency</v>
      </c>
      <c r="E116" s="95">
        <f>Assumptions!C45</f>
        <v>0.1</v>
      </c>
      <c r="F116" s="64">
        <f>+MROUND((F115)*E116,100)</f>
        <v>30900</v>
      </c>
      <c r="G116" s="77"/>
    </row>
    <row r="117" spans="2:7" x14ac:dyDescent="0.2">
      <c r="B117" s="72"/>
      <c r="D117" s="91" t="s">
        <v>3</v>
      </c>
      <c r="E117" s="66"/>
      <c r="F117" s="93">
        <f>SUM(F115:F116)</f>
        <v>340300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17000</v>
      </c>
      <c r="G119" s="77"/>
    </row>
    <row r="120" spans="2:7" x14ac:dyDescent="0.2">
      <c r="B120" s="72"/>
      <c r="D120" s="91" t="str">
        <f>Assumptions!B48</f>
        <v>Engineering - Planning/Consultation</v>
      </c>
      <c r="E120" s="96">
        <f>Assumptions!C48</f>
        <v>0.03</v>
      </c>
      <c r="F120" s="64">
        <f>+MROUND($F$117*E120,100)</f>
        <v>10200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367500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7"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D105:D114 D45:D54 D10:D23 D75:D83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66</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c r="C10" s="51">
        <v>0</v>
      </c>
      <c r="D10" s="55" t="s">
        <v>11</v>
      </c>
      <c r="E10" s="56">
        <v>0</v>
      </c>
      <c r="F10" s="54">
        <f t="shared" ref="F10:F22" si="0">+MROUND(C10*E10,100)</f>
        <v>0</v>
      </c>
      <c r="G10" s="552" t="s">
        <v>11</v>
      </c>
      <c r="S10" s="147"/>
    </row>
    <row r="11" spans="2:19" x14ac:dyDescent="0.2">
      <c r="B11" s="50"/>
      <c r="C11" s="51">
        <v>0</v>
      </c>
      <c r="D11" s="55" t="s">
        <v>11</v>
      </c>
      <c r="E11" s="56">
        <v>0</v>
      </c>
      <c r="F11" s="54">
        <f t="shared" si="0"/>
        <v>0</v>
      </c>
      <c r="G11" s="552" t="s">
        <v>11</v>
      </c>
      <c r="S11" s="147"/>
    </row>
    <row r="12" spans="2:19" x14ac:dyDescent="0.2">
      <c r="B12" s="50"/>
      <c r="C12" s="51">
        <v>0</v>
      </c>
      <c r="D12" s="55" t="s">
        <v>11</v>
      </c>
      <c r="E12" s="56">
        <v>0</v>
      </c>
      <c r="F12" s="54">
        <f t="shared" si="0"/>
        <v>0</v>
      </c>
      <c r="G12" s="552" t="s">
        <v>11</v>
      </c>
      <c r="S12" s="147"/>
    </row>
    <row r="13" spans="2:19" x14ac:dyDescent="0.2">
      <c r="B13" s="50"/>
      <c r="C13" s="51">
        <v>0</v>
      </c>
      <c r="D13" s="55" t="s">
        <v>11</v>
      </c>
      <c r="E13" s="56">
        <v>0</v>
      </c>
      <c r="F13" s="54">
        <f t="shared" si="0"/>
        <v>0</v>
      </c>
      <c r="G13" s="552" t="s">
        <v>11</v>
      </c>
      <c r="S13" s="147"/>
    </row>
    <row r="14" spans="2:19" x14ac:dyDescent="0.2">
      <c r="B14" s="50"/>
      <c r="C14" s="51">
        <v>0</v>
      </c>
      <c r="D14" s="55" t="s">
        <v>11</v>
      </c>
      <c r="E14" s="56">
        <v>0</v>
      </c>
      <c r="F14" s="54">
        <f t="shared" si="0"/>
        <v>0</v>
      </c>
      <c r="G14" s="552" t="s">
        <v>11</v>
      </c>
      <c r="S14" s="147"/>
    </row>
    <row r="15" spans="2:19" x14ac:dyDescent="0.2">
      <c r="B15" s="50"/>
      <c r="C15" s="51">
        <v>0</v>
      </c>
      <c r="D15" s="55" t="s">
        <v>11</v>
      </c>
      <c r="E15" s="56">
        <v>0</v>
      </c>
      <c r="F15" s="54">
        <f t="shared" si="0"/>
        <v>0</v>
      </c>
      <c r="G15" s="552" t="s">
        <v>11</v>
      </c>
      <c r="S15" s="147"/>
    </row>
    <row r="16" spans="2:19" x14ac:dyDescent="0.2">
      <c r="B16" s="50"/>
      <c r="C16" s="51">
        <v>0</v>
      </c>
      <c r="D16" s="55" t="s">
        <v>11</v>
      </c>
      <c r="E16" s="56">
        <v>0</v>
      </c>
      <c r="F16" s="54">
        <f t="shared" si="0"/>
        <v>0</v>
      </c>
      <c r="G16" s="552" t="s">
        <v>11</v>
      </c>
      <c r="S16" s="147"/>
    </row>
    <row r="17" spans="2:19" x14ac:dyDescent="0.2">
      <c r="B17" s="50"/>
      <c r="C17" s="51">
        <v>0</v>
      </c>
      <c r="D17" s="55" t="s">
        <v>11</v>
      </c>
      <c r="E17" s="56">
        <v>0</v>
      </c>
      <c r="F17" s="54">
        <f t="shared" si="0"/>
        <v>0</v>
      </c>
      <c r="G17" s="552" t="s">
        <v>11</v>
      </c>
      <c r="S17" s="147"/>
    </row>
    <row r="18" spans="2:19" x14ac:dyDescent="0.2">
      <c r="B18" s="50" t="str">
        <f>'FCW - D1'!B18</f>
        <v/>
      </c>
      <c r="C18" s="51">
        <v>0</v>
      </c>
      <c r="D18" s="55" t="str">
        <f>'FCW - D1'!D18</f>
        <v/>
      </c>
      <c r="E18" s="56">
        <v>0</v>
      </c>
      <c r="F18" s="54">
        <f t="shared" si="0"/>
        <v>0</v>
      </c>
      <c r="G18" s="552" t="s">
        <v>11</v>
      </c>
      <c r="S18" s="147"/>
    </row>
    <row r="19" spans="2:19" x14ac:dyDescent="0.2">
      <c r="B19" s="50" t="str">
        <f>'FCW - D1'!B19</f>
        <v/>
      </c>
      <c r="C19" s="51">
        <v>0</v>
      </c>
      <c r="D19" s="55" t="str">
        <f>'FCW - D1'!D19</f>
        <v/>
      </c>
      <c r="E19" s="56">
        <f>'FCW - D1'!E19</f>
        <v>0</v>
      </c>
      <c r="F19" s="54">
        <f t="shared" si="0"/>
        <v>0</v>
      </c>
      <c r="G19" s="552" t="s">
        <v>11</v>
      </c>
      <c r="S19" s="147"/>
    </row>
    <row r="20" spans="2:19" x14ac:dyDescent="0.2">
      <c r="B20" s="50" t="str">
        <f>'FCW - D1'!B20</f>
        <v/>
      </c>
      <c r="C20" s="51">
        <v>0</v>
      </c>
      <c r="D20" s="55" t="str">
        <f>'FCW - D1'!D20</f>
        <v/>
      </c>
      <c r="E20" s="56">
        <f>'FCW - D1'!E20</f>
        <v>0</v>
      </c>
      <c r="F20" s="54">
        <f t="shared" si="0"/>
        <v>0</v>
      </c>
      <c r="G20" s="552" t="s">
        <v>11</v>
      </c>
      <c r="S20" s="147"/>
    </row>
    <row r="21" spans="2:19" x14ac:dyDescent="0.2">
      <c r="B21" s="50" t="str">
        <f>'FCW - D1'!B21</f>
        <v/>
      </c>
      <c r="C21" s="51">
        <v>0</v>
      </c>
      <c r="D21" s="55" t="str">
        <f>'FCW - D1'!D21</f>
        <v/>
      </c>
      <c r="E21" s="56">
        <f>'FCW - D1'!E21</f>
        <v>0</v>
      </c>
      <c r="F21" s="54">
        <f t="shared" si="0"/>
        <v>0</v>
      </c>
      <c r="G21" s="552" t="s">
        <v>11</v>
      </c>
      <c r="S21" s="147"/>
    </row>
    <row r="22" spans="2:19" x14ac:dyDescent="0.2">
      <c r="B22" s="50" t="str">
        <f>'FCW - D1'!B22</f>
        <v/>
      </c>
      <c r="C22" s="51">
        <v>0</v>
      </c>
      <c r="D22" s="55" t="str">
        <f>'FCW - D1'!D22</f>
        <v/>
      </c>
      <c r="E22" s="56">
        <f>'FCW - D1'!E22</f>
        <v>0</v>
      </c>
      <c r="F22" s="54">
        <f t="shared" si="0"/>
        <v>0</v>
      </c>
      <c r="G22" s="552" t="s">
        <v>11</v>
      </c>
      <c r="S22" s="147"/>
    </row>
    <row r="23" spans="2:19" x14ac:dyDescent="0.2">
      <c r="B23" s="50" t="str">
        <f>'FCW - D1'!B23</f>
        <v/>
      </c>
      <c r="C23" s="51">
        <v>0</v>
      </c>
      <c r="D23" s="55" t="str">
        <f>'FCW - D1'!D23</f>
        <v/>
      </c>
      <c r="E23" s="56">
        <f>'FCW - D1'!E23</f>
        <v>0</v>
      </c>
      <c r="F23" s="54">
        <f t="shared" ref="F23" si="1">+MROUND(C23*E23,1000)</f>
        <v>0</v>
      </c>
      <c r="G23" s="552"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f t="shared" ref="F31:F33" si="2">+MROUND($F$28*E31,100)</f>
        <v>0</v>
      </c>
      <c r="G31" s="77"/>
    </row>
    <row r="32" spans="2:19" x14ac:dyDescent="0.2">
      <c r="B32" s="72"/>
      <c r="D32" s="91" t="str">
        <f>Assumptions!B15</f>
        <v>Engineering - Design</v>
      </c>
      <c r="E32" s="96">
        <f>Assumptions!C15</f>
        <v>0.1</v>
      </c>
      <c r="F32" s="64">
        <f t="shared" si="2"/>
        <v>0</v>
      </c>
      <c r="G32" s="77"/>
    </row>
    <row r="33" spans="2:7" x14ac:dyDescent="0.2">
      <c r="B33" s="72"/>
      <c r="D33" s="91" t="str">
        <f>Assumptions!B16</f>
        <v>Engineering - Construction</v>
      </c>
      <c r="E33" s="96">
        <f>Assumptions!C16</f>
        <v>0.15</v>
      </c>
      <c r="F33" s="64">
        <f t="shared" si="2"/>
        <v>0</v>
      </c>
      <c r="G33" s="77"/>
    </row>
    <row r="34" spans="2:7" x14ac:dyDescent="0.2">
      <c r="B34" s="32"/>
      <c r="C34" s="63"/>
      <c r="D34" s="94" t="s">
        <v>19</v>
      </c>
      <c r="E34" s="68"/>
      <c r="F34" s="124">
        <f>SUM(F28:F33)</f>
        <v>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Floating Constructed Wetlands - Site 2</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t="s">
        <v>11</v>
      </c>
      <c r="E45" s="56">
        <v>0</v>
      </c>
      <c r="F45" s="54">
        <f t="shared" ref="F45:F54" si="3">+MROUND(C45*E45,100)</f>
        <v>0</v>
      </c>
      <c r="G45" s="552" t="s">
        <v>11</v>
      </c>
    </row>
    <row r="46" spans="2:7" x14ac:dyDescent="0.2">
      <c r="B46" s="50" t="str">
        <f>'FCW - D1'!B46</f>
        <v/>
      </c>
      <c r="C46" s="51">
        <v>0</v>
      </c>
      <c r="D46" s="55" t="str">
        <f>'FCW - D1'!D46</f>
        <v/>
      </c>
      <c r="E46" s="56">
        <f>'FCW - D1'!E46</f>
        <v>0</v>
      </c>
      <c r="F46" s="54">
        <f t="shared" si="3"/>
        <v>0</v>
      </c>
      <c r="G46" s="552" t="str">
        <f>'FCW - D1'!G46</f>
        <v/>
      </c>
    </row>
    <row r="47" spans="2:7" x14ac:dyDescent="0.2">
      <c r="B47" s="50" t="str">
        <f>'FCW - D1'!B47</f>
        <v/>
      </c>
      <c r="C47" s="51">
        <v>0</v>
      </c>
      <c r="D47" s="55" t="str">
        <f>'FCW - D1'!D47</f>
        <v/>
      </c>
      <c r="E47" s="56">
        <f>'FCW - D1'!E47</f>
        <v>0</v>
      </c>
      <c r="F47" s="54">
        <f t="shared" si="3"/>
        <v>0</v>
      </c>
      <c r="G47" s="552" t="str">
        <f>'FCW - D1'!G47</f>
        <v/>
      </c>
    </row>
    <row r="48" spans="2:7" x14ac:dyDescent="0.2">
      <c r="B48" s="50" t="str">
        <f>'FCW - D1'!B48</f>
        <v/>
      </c>
      <c r="C48" s="51">
        <v>0</v>
      </c>
      <c r="D48" s="55" t="str">
        <f>'FCW - D1'!D48</f>
        <v/>
      </c>
      <c r="E48" s="56">
        <f>'FCW - D1'!E48</f>
        <v>0</v>
      </c>
      <c r="F48" s="54">
        <f t="shared" si="3"/>
        <v>0</v>
      </c>
      <c r="G48" s="552" t="str">
        <f>'FCW - D1'!G48</f>
        <v/>
      </c>
    </row>
    <row r="49" spans="2:7" x14ac:dyDescent="0.2">
      <c r="B49" s="50" t="str">
        <f>'FCW - D1'!B49</f>
        <v/>
      </c>
      <c r="C49" s="51">
        <v>0</v>
      </c>
      <c r="D49" s="55" t="str">
        <f>'FCW - D1'!D49</f>
        <v/>
      </c>
      <c r="E49" s="56">
        <f>'FCW - D1'!E49</f>
        <v>0</v>
      </c>
      <c r="F49" s="54">
        <f t="shared" si="3"/>
        <v>0</v>
      </c>
      <c r="G49" s="552" t="str">
        <f>'FCW - D1'!G49</f>
        <v/>
      </c>
    </row>
    <row r="50" spans="2:7" x14ac:dyDescent="0.2">
      <c r="B50" s="50" t="str">
        <f>'FCW - D1'!B50</f>
        <v/>
      </c>
      <c r="C50" s="51">
        <v>0</v>
      </c>
      <c r="D50" s="55" t="str">
        <f>'FCW - D1'!D50</f>
        <v/>
      </c>
      <c r="E50" s="56">
        <f>'FCW - D1'!E50</f>
        <v>0</v>
      </c>
      <c r="F50" s="54">
        <f t="shared" si="3"/>
        <v>0</v>
      </c>
      <c r="G50" s="552" t="str">
        <f>'FCW - D1'!G50</f>
        <v/>
      </c>
    </row>
    <row r="51" spans="2:7" x14ac:dyDescent="0.2">
      <c r="B51" s="50" t="str">
        <f>'FCW - D1'!B51</f>
        <v/>
      </c>
      <c r="C51" s="51">
        <v>0</v>
      </c>
      <c r="D51" s="55" t="str">
        <f>'FCW - D1'!D51</f>
        <v/>
      </c>
      <c r="E51" s="56">
        <f>'FCW - D1'!E51</f>
        <v>0</v>
      </c>
      <c r="F51" s="54">
        <f t="shared" si="3"/>
        <v>0</v>
      </c>
      <c r="G51" s="552" t="str">
        <f>'FCW - D1'!G51</f>
        <v/>
      </c>
    </row>
    <row r="52" spans="2:7" x14ac:dyDescent="0.2">
      <c r="B52" s="50" t="str">
        <f>'FCW - D1'!B52</f>
        <v/>
      </c>
      <c r="C52" s="51">
        <v>0</v>
      </c>
      <c r="D52" s="55" t="str">
        <f>'FCW - D1'!D52</f>
        <v/>
      </c>
      <c r="E52" s="56">
        <f>'FCW - D1'!E52</f>
        <v>0</v>
      </c>
      <c r="F52" s="54">
        <f t="shared" si="3"/>
        <v>0</v>
      </c>
      <c r="G52" s="552" t="str">
        <f>'FCW - D1'!G52</f>
        <v/>
      </c>
    </row>
    <row r="53" spans="2:7" x14ac:dyDescent="0.2">
      <c r="B53" s="50" t="str">
        <f>'FCW - D1'!B53</f>
        <v/>
      </c>
      <c r="C53" s="51">
        <v>0</v>
      </c>
      <c r="D53" s="55" t="str">
        <f>'FCW - D1'!D53</f>
        <v/>
      </c>
      <c r="E53" s="56">
        <f>'FCW - D1'!E53</f>
        <v>0</v>
      </c>
      <c r="F53" s="54">
        <f t="shared" si="3"/>
        <v>0</v>
      </c>
      <c r="G53" s="552" t="str">
        <f>'FCW - D1'!G53</f>
        <v/>
      </c>
    </row>
    <row r="54" spans="2:7" x14ac:dyDescent="0.2">
      <c r="B54" s="50" t="str">
        <f>'FCW - D1'!B54</f>
        <v/>
      </c>
      <c r="C54" s="51">
        <v>0</v>
      </c>
      <c r="D54" s="55" t="str">
        <f>'FCW - D1'!D54</f>
        <v/>
      </c>
      <c r="E54" s="56">
        <f>'FCW - D1'!E54</f>
        <v>0</v>
      </c>
      <c r="F54" s="54">
        <f t="shared" si="3"/>
        <v>0</v>
      </c>
      <c r="G54" s="552"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Floating Constructed Wetlands - Site 2</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t="s">
        <v>11</v>
      </c>
      <c r="E75" s="56">
        <v>0</v>
      </c>
      <c r="F75" s="54">
        <f t="shared" ref="F75:F83" si="4">+MROUND(C75*E75,100)</f>
        <v>0</v>
      </c>
      <c r="G75" s="552" t="s">
        <v>11</v>
      </c>
    </row>
    <row r="76" spans="2:7" x14ac:dyDescent="0.2">
      <c r="B76" s="50" t="s">
        <v>11</v>
      </c>
      <c r="C76" s="51">
        <v>0</v>
      </c>
      <c r="D76" s="55" t="s">
        <v>11</v>
      </c>
      <c r="E76" s="56">
        <v>0</v>
      </c>
      <c r="F76" s="54">
        <f t="shared" si="4"/>
        <v>0</v>
      </c>
      <c r="G76" s="552" t="str">
        <f>'FCW - D1'!G76</f>
        <v/>
      </c>
    </row>
    <row r="77" spans="2:7" x14ac:dyDescent="0.2">
      <c r="B77" s="50" t="s">
        <v>11</v>
      </c>
      <c r="C77" s="51">
        <v>0</v>
      </c>
      <c r="D77" s="55" t="s">
        <v>11</v>
      </c>
      <c r="E77" s="56">
        <v>0</v>
      </c>
      <c r="F77" s="54">
        <f t="shared" si="4"/>
        <v>0</v>
      </c>
      <c r="G77" s="552" t="str">
        <f>'FCW - D1'!G77</f>
        <v/>
      </c>
    </row>
    <row r="78" spans="2:7" x14ac:dyDescent="0.2">
      <c r="B78" s="50" t="str">
        <f>'FCW - D1'!B78</f>
        <v/>
      </c>
      <c r="C78" s="51">
        <v>0</v>
      </c>
      <c r="D78" s="55" t="str">
        <f>'FCW - D1'!D78</f>
        <v/>
      </c>
      <c r="E78" s="56">
        <f>'FCW - D1'!E78</f>
        <v>0</v>
      </c>
      <c r="F78" s="54">
        <f t="shared" si="4"/>
        <v>0</v>
      </c>
      <c r="G78" s="552" t="str">
        <f>'FCW - D1'!G78</f>
        <v/>
      </c>
    </row>
    <row r="79" spans="2:7" x14ac:dyDescent="0.2">
      <c r="B79" s="50" t="str">
        <f>'FCW - D1'!B79</f>
        <v/>
      </c>
      <c r="C79" s="51">
        <v>0</v>
      </c>
      <c r="D79" s="55" t="str">
        <f>'FCW - D1'!D79</f>
        <v/>
      </c>
      <c r="E79" s="56">
        <f>'FCW - D1'!E79</f>
        <v>0</v>
      </c>
      <c r="F79" s="54">
        <f t="shared" si="4"/>
        <v>0</v>
      </c>
      <c r="G79" s="552" t="str">
        <f>'FCW - D1'!G79</f>
        <v/>
      </c>
    </row>
    <row r="80" spans="2:7" x14ac:dyDescent="0.2">
      <c r="B80" s="50" t="str">
        <f>'FCW - D1'!B80</f>
        <v/>
      </c>
      <c r="C80" s="51">
        <v>0</v>
      </c>
      <c r="D80" s="55" t="str">
        <f>'FCW - D1'!D80</f>
        <v/>
      </c>
      <c r="E80" s="56">
        <f>'FCW - D1'!E80</f>
        <v>0</v>
      </c>
      <c r="F80" s="54">
        <f t="shared" si="4"/>
        <v>0</v>
      </c>
      <c r="G80" s="552" t="str">
        <f>'FCW - D1'!G80</f>
        <v/>
      </c>
    </row>
    <row r="81" spans="2:7" x14ac:dyDescent="0.2">
      <c r="B81" s="50" t="str">
        <f>'FCW - D1'!B81</f>
        <v/>
      </c>
      <c r="C81" s="51">
        <v>0</v>
      </c>
      <c r="D81" s="55" t="str">
        <f>'FCW - D1'!D81</f>
        <v/>
      </c>
      <c r="E81" s="56">
        <f>'FCW - D1'!E81</f>
        <v>0</v>
      </c>
      <c r="F81" s="54">
        <f t="shared" si="4"/>
        <v>0</v>
      </c>
      <c r="G81" s="552" t="str">
        <f>'FCW - D1'!G81</f>
        <v/>
      </c>
    </row>
    <row r="82" spans="2:7" x14ac:dyDescent="0.2">
      <c r="B82" s="50" t="str">
        <f>'FCW - D1'!B82</f>
        <v/>
      </c>
      <c r="C82" s="51">
        <v>0</v>
      </c>
      <c r="D82" s="55" t="str">
        <f>'FCW - D1'!D82</f>
        <v/>
      </c>
      <c r="E82" s="56">
        <f>'FCW - D1'!E82</f>
        <v>0</v>
      </c>
      <c r="F82" s="54">
        <f t="shared" si="4"/>
        <v>0</v>
      </c>
      <c r="G82" s="552" t="str">
        <f>'FCW - D1'!G82</f>
        <v/>
      </c>
    </row>
    <row r="83" spans="2:7" x14ac:dyDescent="0.2">
      <c r="B83" s="50" t="str">
        <f>'FCW - D1'!B83</f>
        <v/>
      </c>
      <c r="C83" s="51">
        <v>0</v>
      </c>
      <c r="D83" s="55" t="str">
        <f>'FCW - D1'!D83</f>
        <v/>
      </c>
      <c r="E83" s="56">
        <f>'FCW - D1'!E83</f>
        <v>0</v>
      </c>
      <c r="F83" s="54">
        <f t="shared" si="4"/>
        <v>0</v>
      </c>
      <c r="G83" s="552"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Floating Constructed Wetlands - Site 2</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t="s">
        <v>11</v>
      </c>
      <c r="E105" s="56">
        <v>0</v>
      </c>
      <c r="F105" s="54">
        <f t="shared" ref="F105:F114" si="5">+MROUND(C105*E105,100)</f>
        <v>0</v>
      </c>
      <c r="G105" s="552" t="s">
        <v>11</v>
      </c>
    </row>
    <row r="106" spans="2:7" x14ac:dyDescent="0.2">
      <c r="B106" s="50" t="s">
        <v>11</v>
      </c>
      <c r="C106" s="51">
        <v>0</v>
      </c>
      <c r="D106" s="55" t="s">
        <v>11</v>
      </c>
      <c r="E106" s="56">
        <v>0</v>
      </c>
      <c r="F106" s="54">
        <f t="shared" si="5"/>
        <v>0</v>
      </c>
      <c r="G106" s="552" t="s">
        <v>11</v>
      </c>
    </row>
    <row r="107" spans="2:7" x14ac:dyDescent="0.2">
      <c r="B107" s="50" t="s">
        <v>11</v>
      </c>
      <c r="C107" s="51">
        <v>0</v>
      </c>
      <c r="D107" s="55" t="s">
        <v>11</v>
      </c>
      <c r="E107" s="56">
        <v>0</v>
      </c>
      <c r="F107" s="54">
        <f t="shared" si="5"/>
        <v>0</v>
      </c>
      <c r="G107" s="552" t="s">
        <v>11</v>
      </c>
    </row>
    <row r="108" spans="2:7" x14ac:dyDescent="0.2">
      <c r="B108" s="50" t="s">
        <v>11</v>
      </c>
      <c r="C108" s="51">
        <v>0</v>
      </c>
      <c r="D108" s="55" t="s">
        <v>11</v>
      </c>
      <c r="E108" s="56">
        <v>0</v>
      </c>
      <c r="F108" s="54">
        <f t="shared" si="5"/>
        <v>0</v>
      </c>
      <c r="G108" s="552" t="s">
        <v>11</v>
      </c>
    </row>
    <row r="109" spans="2:7" x14ac:dyDescent="0.2">
      <c r="B109" s="50" t="s">
        <v>11</v>
      </c>
      <c r="C109" s="51">
        <v>0</v>
      </c>
      <c r="D109" s="55" t="s">
        <v>11</v>
      </c>
      <c r="E109" s="56">
        <v>0</v>
      </c>
      <c r="F109" s="54">
        <f t="shared" si="5"/>
        <v>0</v>
      </c>
      <c r="G109" s="552" t="s">
        <v>11</v>
      </c>
    </row>
    <row r="110" spans="2:7" x14ac:dyDescent="0.2">
      <c r="B110" s="50" t="str">
        <f>'FCW - D1'!B110</f>
        <v/>
      </c>
      <c r="C110" s="51">
        <f>('FCW - D1'!C110/0.7)*5</f>
        <v>0</v>
      </c>
      <c r="D110" s="55" t="str">
        <f>'FCW - D1'!D110</f>
        <v/>
      </c>
      <c r="E110" s="56">
        <f>'FCW - D1'!E110</f>
        <v>0</v>
      </c>
      <c r="F110" s="54">
        <f t="shared" si="5"/>
        <v>0</v>
      </c>
      <c r="G110" s="552" t="str">
        <f>'FCW - D1'!G110</f>
        <v/>
      </c>
    </row>
    <row r="111" spans="2:7" x14ac:dyDescent="0.2">
      <c r="B111" s="50" t="str">
        <f>'FCW - D1'!B111</f>
        <v/>
      </c>
      <c r="C111" s="51">
        <f>('FCW - D1'!C111/0.7)*5</f>
        <v>0</v>
      </c>
      <c r="D111" s="55" t="str">
        <f>'FCW - D1'!D111</f>
        <v/>
      </c>
      <c r="E111" s="56">
        <f>'FCW - D1'!E111</f>
        <v>0</v>
      </c>
      <c r="F111" s="54">
        <f t="shared" si="5"/>
        <v>0</v>
      </c>
      <c r="G111" s="552" t="str">
        <f>'FCW - D1'!G111</f>
        <v/>
      </c>
    </row>
    <row r="112" spans="2:7" x14ac:dyDescent="0.2">
      <c r="B112" s="50" t="str">
        <f>'FCW - D1'!B112</f>
        <v/>
      </c>
      <c r="C112" s="51">
        <f>('FCW - D1'!C112/0.7)*5</f>
        <v>0</v>
      </c>
      <c r="D112" s="55" t="str">
        <f>'FCW - D1'!D112</f>
        <v/>
      </c>
      <c r="E112" s="56">
        <f>'FCW - D1'!E112</f>
        <v>0</v>
      </c>
      <c r="F112" s="54">
        <f t="shared" si="5"/>
        <v>0</v>
      </c>
      <c r="G112" s="552" t="str">
        <f>'FCW - D1'!G112</f>
        <v/>
      </c>
    </row>
    <row r="113" spans="2:7" x14ac:dyDescent="0.2">
      <c r="B113" s="50" t="str">
        <f>'FCW - D1'!B113</f>
        <v/>
      </c>
      <c r="C113" s="51">
        <f>('FCW - D1'!C113/0.7)*5</f>
        <v>0</v>
      </c>
      <c r="D113" s="55" t="str">
        <f>'FCW - D1'!D113</f>
        <v/>
      </c>
      <c r="E113" s="56">
        <f>'FCW - D1'!E113</f>
        <v>0</v>
      </c>
      <c r="F113" s="54">
        <f t="shared" si="5"/>
        <v>0</v>
      </c>
      <c r="G113" s="552" t="str">
        <f>'FCW - D1'!G113</f>
        <v/>
      </c>
    </row>
    <row r="114" spans="2:7" x14ac:dyDescent="0.2">
      <c r="B114" s="50" t="str">
        <f>'FCW - D1'!B114</f>
        <v/>
      </c>
      <c r="C114" s="51">
        <f>('FCW - D1'!C114/0.7)*5</f>
        <v>0</v>
      </c>
      <c r="D114" s="55" t="str">
        <f>'FCW - D1'!D114</f>
        <v/>
      </c>
      <c r="E114" s="56">
        <f>'FCW - D1'!E114</f>
        <v>0</v>
      </c>
      <c r="F114" s="54">
        <f t="shared" si="5"/>
        <v>0</v>
      </c>
      <c r="G114" s="552" t="str">
        <f>'FCW - D1'!G114</f>
        <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D10:D23 D75:D83 D45:D54 D105:D114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67</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t="s">
        <v>11</v>
      </c>
      <c r="C10" s="51">
        <v>0</v>
      </c>
      <c r="D10" s="55"/>
      <c r="E10" s="56">
        <v>0</v>
      </c>
      <c r="F10" s="54">
        <f t="shared" ref="F10:F22" si="0">+MROUND(C10*E10,100)</f>
        <v>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f t="shared" ref="F31:F33" si="2">+MROUND($F$28*E31,100)</f>
        <v>0</v>
      </c>
      <c r="G31" s="77"/>
    </row>
    <row r="32" spans="2:19" x14ac:dyDescent="0.2">
      <c r="B32" s="72"/>
      <c r="D32" s="91" t="str">
        <f>Assumptions!B15</f>
        <v>Engineering - Design</v>
      </c>
      <c r="E32" s="96">
        <f>Assumptions!C15</f>
        <v>0.1</v>
      </c>
      <c r="F32" s="64">
        <f t="shared" si="2"/>
        <v>0</v>
      </c>
      <c r="G32" s="77"/>
    </row>
    <row r="33" spans="2:7" x14ac:dyDescent="0.2">
      <c r="B33" s="72"/>
      <c r="D33" s="91" t="str">
        <f>Assumptions!B16</f>
        <v>Engineering - Construction</v>
      </c>
      <c r="E33" s="96">
        <f>Assumptions!C16</f>
        <v>0.15</v>
      </c>
      <c r="F33" s="64">
        <f t="shared" si="2"/>
        <v>0</v>
      </c>
      <c r="G33" s="77"/>
    </row>
    <row r="34" spans="2:7" x14ac:dyDescent="0.2">
      <c r="B34" s="32"/>
      <c r="C34" s="63"/>
      <c r="D34" s="94" t="s">
        <v>19</v>
      </c>
      <c r="E34" s="68"/>
      <c r="F34" s="124">
        <f>SUM(F28:F33)</f>
        <v>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Floating Constructed Wetlands - Site 3</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Floating Constructed Wetlands - Site 3</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Floating Constructed Wetlands - Site 3</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c r="E105" s="56">
        <v>0</v>
      </c>
      <c r="F105" s="54">
        <f>+MROUND(C105*E105,100)</f>
        <v>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D105:D114 D75:D83 D10:D23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68</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t="s">
        <v>11</v>
      </c>
      <c r="C10" s="51">
        <v>0</v>
      </c>
      <c r="D10" s="55"/>
      <c r="E10" s="56">
        <v>0</v>
      </c>
      <c r="F10" s="54">
        <f t="shared" ref="F10:F22" si="0">+MROUND(C10*E10,100)</f>
        <v>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f t="shared" ref="F31:F33" si="2">+MROUND($F$28*E31,100)</f>
        <v>0</v>
      </c>
      <c r="G31" s="77"/>
    </row>
    <row r="32" spans="2:19" x14ac:dyDescent="0.2">
      <c r="B32" s="72"/>
      <c r="D32" s="91" t="str">
        <f>Assumptions!B15</f>
        <v>Engineering - Design</v>
      </c>
      <c r="E32" s="96">
        <f>Assumptions!C15</f>
        <v>0.1</v>
      </c>
      <c r="F32" s="64">
        <f t="shared" si="2"/>
        <v>0</v>
      </c>
      <c r="G32" s="77"/>
    </row>
    <row r="33" spans="2:7" x14ac:dyDescent="0.2">
      <c r="B33" s="72"/>
      <c r="D33" s="91" t="str">
        <f>Assumptions!B16</f>
        <v>Engineering - Construction</v>
      </c>
      <c r="E33" s="96">
        <f>Assumptions!C16</f>
        <v>0.15</v>
      </c>
      <c r="F33" s="64">
        <f t="shared" si="2"/>
        <v>0</v>
      </c>
      <c r="G33" s="77"/>
    </row>
    <row r="34" spans="2:7" x14ac:dyDescent="0.2">
      <c r="B34" s="32"/>
      <c r="C34" s="63"/>
      <c r="D34" s="94" t="s">
        <v>19</v>
      </c>
      <c r="E34" s="68"/>
      <c r="F34" s="124">
        <f>SUM(F28:F33)</f>
        <v>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Floating Constructed Wetlands - Site 4</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Floating Constructed Wetlands - Site 4</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Floating Constructed Wetlands - Site 4</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c r="E105" s="56">
        <v>0</v>
      </c>
      <c r="F105" s="54">
        <f>+MROUND(C105*E105,100)</f>
        <v>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D105:D114 D75:D83 D10:D23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69</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t="s">
        <v>11</v>
      </c>
      <c r="C10" s="51">
        <v>0</v>
      </c>
      <c r="D10" s="55"/>
      <c r="E10" s="56">
        <v>0</v>
      </c>
      <c r="F10" s="54">
        <f t="shared" ref="F10:F22" si="0">+MROUND(C10*E10,100)</f>
        <v>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f t="shared" ref="F31:F33" si="2">+MROUND($F$28*E31,100)</f>
        <v>0</v>
      </c>
      <c r="G31" s="77"/>
    </row>
    <row r="32" spans="2:19" x14ac:dyDescent="0.2">
      <c r="B32" s="72"/>
      <c r="D32" s="91" t="str">
        <f>Assumptions!B15</f>
        <v>Engineering - Design</v>
      </c>
      <c r="E32" s="96">
        <f>Assumptions!C15</f>
        <v>0.1</v>
      </c>
      <c r="F32" s="64">
        <f t="shared" si="2"/>
        <v>0</v>
      </c>
      <c r="G32" s="77"/>
    </row>
    <row r="33" spans="2:7" x14ac:dyDescent="0.2">
      <c r="B33" s="72"/>
      <c r="D33" s="91" t="str">
        <f>Assumptions!B16</f>
        <v>Engineering - Construction</v>
      </c>
      <c r="E33" s="96">
        <f>Assumptions!C16</f>
        <v>0.15</v>
      </c>
      <c r="F33" s="64">
        <f t="shared" si="2"/>
        <v>0</v>
      </c>
      <c r="G33" s="77"/>
    </row>
    <row r="34" spans="2:7" x14ac:dyDescent="0.2">
      <c r="B34" s="32"/>
      <c r="C34" s="63"/>
      <c r="D34" s="94" t="s">
        <v>19</v>
      </c>
      <c r="E34" s="68"/>
      <c r="F34" s="124">
        <f>SUM(F28:F33)</f>
        <v>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Floating Constructed Wetlands - Site 5</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Floating Constructed Wetlands - Site 5</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Floating Constructed Wetlands - Site 5</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c r="E105" s="56">
        <v>0</v>
      </c>
      <c r="F105" s="54">
        <f>+MROUND(C105*E105,100)</f>
        <v>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D105:D114 D75:D83 D10:D23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481</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5455</v>
      </c>
      <c r="F9" s="64">
        <f>+MROUND(C9*E9,100)</f>
        <v>5500</v>
      </c>
      <c r="G9" s="77" t="str">
        <f>CONCATENATE(Assumptions!C9*100,"%"," ","of Other Items")</f>
        <v>5% of Other Items</v>
      </c>
      <c r="S9" s="147"/>
    </row>
    <row r="10" spans="2:19" ht="38.25" x14ac:dyDescent="0.2">
      <c r="B10" s="50" t="s">
        <v>113</v>
      </c>
      <c r="C10" s="51">
        <v>18</v>
      </c>
      <c r="D10" s="55" t="s">
        <v>56</v>
      </c>
      <c r="E10" s="56">
        <v>2500</v>
      </c>
      <c r="F10" s="54">
        <f t="shared" ref="F10:F16" si="0">+MROUND(C10*E10,100)</f>
        <v>45000</v>
      </c>
      <c r="G10" s="99" t="s">
        <v>121</v>
      </c>
      <c r="S10" s="147"/>
    </row>
    <row r="11" spans="2:19" ht="25.5" x14ac:dyDescent="0.2">
      <c r="B11" s="50" t="s">
        <v>114</v>
      </c>
      <c r="C11" s="51">
        <v>22</v>
      </c>
      <c r="D11" s="55" t="s">
        <v>56</v>
      </c>
      <c r="E11" s="56">
        <v>850</v>
      </c>
      <c r="F11" s="54">
        <f t="shared" si="0"/>
        <v>18700</v>
      </c>
      <c r="G11" s="99" t="s">
        <v>122</v>
      </c>
      <c r="S11" s="147"/>
    </row>
    <row r="12" spans="2:19" ht="25.5" x14ac:dyDescent="0.2">
      <c r="B12" s="50" t="s">
        <v>115</v>
      </c>
      <c r="C12" s="51">
        <v>1</v>
      </c>
      <c r="D12" s="55" t="s">
        <v>34</v>
      </c>
      <c r="E12" s="56">
        <v>5785</v>
      </c>
      <c r="F12" s="54">
        <f t="shared" si="0"/>
        <v>5800</v>
      </c>
      <c r="G12" s="99" t="s">
        <v>123</v>
      </c>
      <c r="S12" s="147"/>
    </row>
    <row r="13" spans="2:19" ht="25.5" x14ac:dyDescent="0.2">
      <c r="B13" s="50" t="s">
        <v>116</v>
      </c>
      <c r="C13" s="51">
        <v>50</v>
      </c>
      <c r="D13" s="55" t="s">
        <v>21</v>
      </c>
      <c r="E13" s="56">
        <v>127</v>
      </c>
      <c r="F13" s="54">
        <f t="shared" si="0"/>
        <v>6400</v>
      </c>
      <c r="G13" s="99" t="s">
        <v>124</v>
      </c>
      <c r="S13" s="147"/>
    </row>
    <row r="14" spans="2:19" ht="25.5" x14ac:dyDescent="0.2">
      <c r="B14" s="50" t="s">
        <v>117</v>
      </c>
      <c r="C14" s="51">
        <v>1560</v>
      </c>
      <c r="D14" s="55" t="s">
        <v>118</v>
      </c>
      <c r="E14" s="57">
        <v>11.25</v>
      </c>
      <c r="F14" s="54">
        <f t="shared" si="0"/>
        <v>17600</v>
      </c>
      <c r="G14" s="99" t="s">
        <v>125</v>
      </c>
      <c r="S14" s="147"/>
    </row>
    <row r="15" spans="2:19" ht="25.5" x14ac:dyDescent="0.2">
      <c r="B15" s="50" t="s">
        <v>119</v>
      </c>
      <c r="C15" s="51">
        <v>10</v>
      </c>
      <c r="D15" s="55" t="s">
        <v>75</v>
      </c>
      <c r="E15" s="56">
        <v>1265</v>
      </c>
      <c r="F15" s="54">
        <f t="shared" si="0"/>
        <v>12700</v>
      </c>
      <c r="G15" s="99" t="s">
        <v>126</v>
      </c>
      <c r="S15" s="147"/>
    </row>
    <row r="16" spans="2:19" x14ac:dyDescent="0.2">
      <c r="B16" s="50" t="s">
        <v>120</v>
      </c>
      <c r="C16" s="51">
        <v>1</v>
      </c>
      <c r="D16" s="55" t="s">
        <v>75</v>
      </c>
      <c r="E16" s="119">
        <v>2865</v>
      </c>
      <c r="F16" s="54">
        <f t="shared" si="0"/>
        <v>2900</v>
      </c>
      <c r="G16" s="99" t="s">
        <v>127</v>
      </c>
      <c r="S16" s="147"/>
    </row>
    <row r="17" spans="2:19" x14ac:dyDescent="0.2">
      <c r="B17" s="50" t="s">
        <v>11</v>
      </c>
      <c r="C17" s="51">
        <v>0</v>
      </c>
      <c r="D17" s="55" t="s">
        <v>11</v>
      </c>
      <c r="E17" s="56">
        <v>0</v>
      </c>
      <c r="F17" s="54">
        <f t="shared" ref="F17" si="1">+MROUND(C17*E17,100)</f>
        <v>0</v>
      </c>
      <c r="G17" s="99"/>
      <c r="S17" s="147"/>
    </row>
    <row r="18" spans="2:19" x14ac:dyDescent="0.2">
      <c r="B18" s="50"/>
      <c r="C18" s="51"/>
      <c r="D18" s="55"/>
      <c r="E18" s="56">
        <v>0</v>
      </c>
      <c r="F18" s="54">
        <f t="shared" ref="F18:F22" si="2">+MROUND(C18*E18,100)</f>
        <v>0</v>
      </c>
      <c r="G18" s="99"/>
      <c r="S18" s="147"/>
    </row>
    <row r="19" spans="2:19" x14ac:dyDescent="0.2">
      <c r="B19" s="50"/>
      <c r="C19" s="51"/>
      <c r="D19" s="55"/>
      <c r="E19" s="56">
        <v>0</v>
      </c>
      <c r="F19" s="54">
        <f t="shared" si="2"/>
        <v>0</v>
      </c>
      <c r="G19" s="99"/>
      <c r="S19" s="147"/>
    </row>
    <row r="20" spans="2:19" x14ac:dyDescent="0.2">
      <c r="B20" s="50" t="s">
        <v>11</v>
      </c>
      <c r="C20" s="51">
        <v>0</v>
      </c>
      <c r="D20" s="55" t="s">
        <v>11</v>
      </c>
      <c r="E20" s="56">
        <v>0</v>
      </c>
      <c r="F20" s="54">
        <f t="shared" si="2"/>
        <v>0</v>
      </c>
      <c r="G20" s="99"/>
      <c r="S20" s="147"/>
    </row>
    <row r="21" spans="2:19" x14ac:dyDescent="0.2">
      <c r="B21" s="50" t="s">
        <v>11</v>
      </c>
      <c r="C21" s="51">
        <v>0</v>
      </c>
      <c r="D21" s="55" t="s">
        <v>11</v>
      </c>
      <c r="E21" s="56">
        <v>0</v>
      </c>
      <c r="F21" s="54">
        <f t="shared" si="2"/>
        <v>0</v>
      </c>
      <c r="G21" s="99"/>
      <c r="S21" s="147"/>
    </row>
    <row r="22" spans="2:19" x14ac:dyDescent="0.2">
      <c r="B22" s="50" t="s">
        <v>11</v>
      </c>
      <c r="C22" s="51">
        <v>0</v>
      </c>
      <c r="D22" s="55"/>
      <c r="E22" s="56">
        <v>0</v>
      </c>
      <c r="F22" s="54">
        <f t="shared" si="2"/>
        <v>0</v>
      </c>
      <c r="G22" s="99" t="s">
        <v>11</v>
      </c>
      <c r="S22" s="147"/>
    </row>
    <row r="23" spans="2:19" x14ac:dyDescent="0.2">
      <c r="B23" s="50" t="s">
        <v>11</v>
      </c>
      <c r="C23" s="51">
        <v>0</v>
      </c>
      <c r="D23" s="55"/>
      <c r="E23" s="56">
        <v>0</v>
      </c>
      <c r="F23" s="54">
        <f t="shared" ref="F23" si="3">+MROUND(C23*E23,1000)</f>
        <v>0</v>
      </c>
      <c r="G23" s="99" t="s">
        <v>11</v>
      </c>
      <c r="S23" s="147"/>
    </row>
    <row r="24" spans="2:19" x14ac:dyDescent="0.2">
      <c r="B24" s="72"/>
      <c r="C24" s="63"/>
      <c r="D24" s="90" t="s">
        <v>3</v>
      </c>
      <c r="E24" s="68"/>
      <c r="F24" s="93">
        <f>+SUM(F9:F23)</f>
        <v>114600</v>
      </c>
      <c r="G24" s="98"/>
    </row>
    <row r="25" spans="2:19" x14ac:dyDescent="0.2">
      <c r="B25" s="72"/>
      <c r="D25" s="91" t="str">
        <f>Assumptions!B10</f>
        <v>Overhead and Profit</v>
      </c>
      <c r="E25" s="95">
        <f>Assumptions!C10</f>
        <v>0.22</v>
      </c>
      <c r="F25" s="67">
        <f>+MROUND(F24*E25,100)</f>
        <v>25200</v>
      </c>
      <c r="G25" s="77"/>
    </row>
    <row r="26" spans="2:19" x14ac:dyDescent="0.2">
      <c r="B26" s="72"/>
      <c r="D26" s="91" t="s">
        <v>3</v>
      </c>
      <c r="E26" s="66"/>
      <c r="F26" s="92">
        <f>F25+F24</f>
        <v>139800</v>
      </c>
      <c r="G26" s="77"/>
    </row>
    <row r="27" spans="2:19" x14ac:dyDescent="0.2">
      <c r="B27" s="72"/>
      <c r="D27" s="91" t="str">
        <f>Assumptions!B11</f>
        <v>Contingency</v>
      </c>
      <c r="E27" s="96">
        <f>Assumptions!C11</f>
        <v>0.25</v>
      </c>
      <c r="F27" s="64">
        <f>+MROUND((F26)*E27,100)</f>
        <v>35000</v>
      </c>
      <c r="G27" s="77"/>
    </row>
    <row r="28" spans="2:19" x14ac:dyDescent="0.2">
      <c r="B28" s="72"/>
      <c r="D28" s="91" t="s">
        <v>36</v>
      </c>
      <c r="E28" s="96"/>
      <c r="F28" s="93">
        <f>SUM(F26:F27)</f>
        <v>174800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8700</v>
      </c>
      <c r="G30" s="77"/>
    </row>
    <row r="31" spans="2:19" x14ac:dyDescent="0.2">
      <c r="B31" s="72"/>
      <c r="D31" s="91" t="str">
        <f>Assumptions!B14</f>
        <v>Engineering - Planning/Consultation</v>
      </c>
      <c r="E31" s="96">
        <f>Assumptions!C14</f>
        <v>0.05</v>
      </c>
      <c r="F31" s="64">
        <f t="shared" ref="F31:F33" si="4">+MROUND($F$28*E31,100)</f>
        <v>8700</v>
      </c>
      <c r="G31" s="77"/>
    </row>
    <row r="32" spans="2:19" x14ac:dyDescent="0.2">
      <c r="B32" s="72"/>
      <c r="D32" s="91" t="str">
        <f>Assumptions!B15</f>
        <v>Engineering - Design</v>
      </c>
      <c r="E32" s="96">
        <f>Assumptions!C15</f>
        <v>0.1</v>
      </c>
      <c r="F32" s="64">
        <f t="shared" si="4"/>
        <v>17500</v>
      </c>
      <c r="G32" s="77"/>
    </row>
    <row r="33" spans="2:7" x14ac:dyDescent="0.2">
      <c r="B33" s="72"/>
      <c r="D33" s="91" t="str">
        <f>Assumptions!B16</f>
        <v>Engineering - Construction</v>
      </c>
      <c r="E33" s="96">
        <f>Assumptions!C16</f>
        <v>0.15</v>
      </c>
      <c r="F33" s="64">
        <f t="shared" si="4"/>
        <v>26200</v>
      </c>
      <c r="G33" s="77"/>
    </row>
    <row r="34" spans="2:7" x14ac:dyDescent="0.2">
      <c r="B34" s="32"/>
      <c r="C34" s="63"/>
      <c r="D34" s="94" t="s">
        <v>19</v>
      </c>
      <c r="E34" s="68"/>
      <c r="F34" s="124">
        <f>SUM(F28:F33)</f>
        <v>235900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Permeable Reactive Barriers - Demonstration 1 - Landfill Focused Injection Test</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165</v>
      </c>
    </row>
    <row r="46" spans="2:7" x14ac:dyDescent="0.2">
      <c r="B46" s="50" t="s">
        <v>11</v>
      </c>
      <c r="C46" s="51">
        <v>0</v>
      </c>
      <c r="D46" s="55"/>
      <c r="E46" s="56">
        <v>0</v>
      </c>
      <c r="F46" s="54">
        <f t="shared" ref="F46:F54" si="5">+MROUND(C46*E46,100)</f>
        <v>0</v>
      </c>
      <c r="G46" s="99" t="s">
        <v>11</v>
      </c>
    </row>
    <row r="47" spans="2:7" x14ac:dyDescent="0.2">
      <c r="B47" s="50" t="s">
        <v>11</v>
      </c>
      <c r="C47" s="51">
        <v>0</v>
      </c>
      <c r="D47" s="55"/>
      <c r="E47" s="56">
        <v>0</v>
      </c>
      <c r="F47" s="54">
        <f t="shared" si="5"/>
        <v>0</v>
      </c>
      <c r="G47" s="99" t="s">
        <v>11</v>
      </c>
    </row>
    <row r="48" spans="2:7" x14ac:dyDescent="0.2">
      <c r="B48" s="50" t="s">
        <v>11</v>
      </c>
      <c r="C48" s="51">
        <v>0</v>
      </c>
      <c r="D48" s="55"/>
      <c r="E48" s="56">
        <v>0</v>
      </c>
      <c r="F48" s="54">
        <f t="shared" si="5"/>
        <v>0</v>
      </c>
      <c r="G48" s="99" t="s">
        <v>11</v>
      </c>
    </row>
    <row r="49" spans="2:7" x14ac:dyDescent="0.2">
      <c r="B49" s="50" t="s">
        <v>11</v>
      </c>
      <c r="C49" s="51">
        <v>0</v>
      </c>
      <c r="D49" s="55"/>
      <c r="E49" s="56">
        <v>0</v>
      </c>
      <c r="F49" s="54">
        <f t="shared" si="5"/>
        <v>0</v>
      </c>
      <c r="G49" s="99" t="s">
        <v>11</v>
      </c>
    </row>
    <row r="50" spans="2:7" x14ac:dyDescent="0.2">
      <c r="B50" s="50" t="s">
        <v>11</v>
      </c>
      <c r="C50" s="51">
        <v>0</v>
      </c>
      <c r="D50" s="55"/>
      <c r="E50" s="56">
        <v>0</v>
      </c>
      <c r="F50" s="54">
        <f t="shared" si="5"/>
        <v>0</v>
      </c>
      <c r="G50" s="99" t="s">
        <v>11</v>
      </c>
    </row>
    <row r="51" spans="2:7" x14ac:dyDescent="0.2">
      <c r="B51" s="50" t="s">
        <v>11</v>
      </c>
      <c r="C51" s="51">
        <v>0</v>
      </c>
      <c r="D51" s="55"/>
      <c r="E51" s="56">
        <v>0</v>
      </c>
      <c r="F51" s="54">
        <f t="shared" si="5"/>
        <v>0</v>
      </c>
      <c r="G51" s="99" t="s">
        <v>11</v>
      </c>
    </row>
    <row r="52" spans="2:7" x14ac:dyDescent="0.2">
      <c r="B52" s="50" t="s">
        <v>11</v>
      </c>
      <c r="C52" s="51">
        <v>0</v>
      </c>
      <c r="D52" s="55"/>
      <c r="E52" s="56">
        <v>0</v>
      </c>
      <c r="F52" s="54">
        <f t="shared" si="5"/>
        <v>0</v>
      </c>
      <c r="G52" s="99" t="s">
        <v>11</v>
      </c>
    </row>
    <row r="53" spans="2:7" x14ac:dyDescent="0.2">
      <c r="B53" s="50" t="s">
        <v>11</v>
      </c>
      <c r="C53" s="51">
        <v>0</v>
      </c>
      <c r="D53" s="55"/>
      <c r="E53" s="56">
        <v>0</v>
      </c>
      <c r="F53" s="54">
        <f t="shared" si="5"/>
        <v>0</v>
      </c>
      <c r="G53" s="99" t="s">
        <v>11</v>
      </c>
    </row>
    <row r="54" spans="2:7" x14ac:dyDescent="0.2">
      <c r="B54" s="50" t="s">
        <v>11</v>
      </c>
      <c r="C54" s="51">
        <v>0</v>
      </c>
      <c r="D54" s="55"/>
      <c r="E54" s="56">
        <v>0</v>
      </c>
      <c r="F54" s="54">
        <f t="shared" si="5"/>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Permeable Reactive Barriers - Demonstration 1 - Landfill Focused Injection Test</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500</v>
      </c>
      <c r="F74" s="111">
        <f>+MROUND(C74*E74,100)</f>
        <v>500</v>
      </c>
      <c r="G74" s="112" t="str">
        <f>CONCATENATE(Assumptions!C33*100,"%"," ","of Other Items")</f>
        <v>5% of Other Items</v>
      </c>
    </row>
    <row r="75" spans="2:7" ht="38.25" x14ac:dyDescent="0.2">
      <c r="B75" s="50" t="s">
        <v>113</v>
      </c>
      <c r="C75" s="51">
        <v>4</v>
      </c>
      <c r="D75" s="55" t="s">
        <v>56</v>
      </c>
      <c r="E75" s="56">
        <v>2500</v>
      </c>
      <c r="F75" s="54">
        <f t="shared" ref="F75:F83" si="6">+MROUND(C75*E75,100)</f>
        <v>10000</v>
      </c>
      <c r="G75" s="99" t="s">
        <v>132</v>
      </c>
    </row>
    <row r="76" spans="2:7" x14ac:dyDescent="0.2">
      <c r="B76" s="50" t="s">
        <v>11</v>
      </c>
      <c r="C76" s="51">
        <v>0</v>
      </c>
      <c r="D76" s="55"/>
      <c r="E76" s="56">
        <v>0</v>
      </c>
      <c r="F76" s="54">
        <f t="shared" si="6"/>
        <v>0</v>
      </c>
      <c r="G76" s="99" t="s">
        <v>11</v>
      </c>
    </row>
    <row r="77" spans="2:7" ht="38.25" x14ac:dyDescent="0.2">
      <c r="B77" s="50" t="s">
        <v>11</v>
      </c>
      <c r="C77" s="51">
        <v>0</v>
      </c>
      <c r="D77" s="55"/>
      <c r="E77" s="56">
        <v>0</v>
      </c>
      <c r="F77" s="54">
        <f t="shared" si="6"/>
        <v>0</v>
      </c>
      <c r="G77" s="99" t="s">
        <v>166</v>
      </c>
    </row>
    <row r="78" spans="2:7" x14ac:dyDescent="0.2">
      <c r="B78" s="50" t="s">
        <v>11</v>
      </c>
      <c r="C78" s="51">
        <v>0</v>
      </c>
      <c r="D78" s="55"/>
      <c r="E78" s="56">
        <v>0</v>
      </c>
      <c r="F78" s="54">
        <f t="shared" si="6"/>
        <v>0</v>
      </c>
      <c r="G78" s="99" t="s">
        <v>11</v>
      </c>
    </row>
    <row r="79" spans="2:7" x14ac:dyDescent="0.2">
      <c r="B79" s="50" t="s">
        <v>11</v>
      </c>
      <c r="C79" s="51">
        <v>0</v>
      </c>
      <c r="D79" s="55"/>
      <c r="E79" s="56">
        <v>0</v>
      </c>
      <c r="F79" s="54">
        <f t="shared" si="6"/>
        <v>0</v>
      </c>
      <c r="G79" s="99" t="s">
        <v>11</v>
      </c>
    </row>
    <row r="80" spans="2:7" x14ac:dyDescent="0.2">
      <c r="B80" s="50" t="s">
        <v>11</v>
      </c>
      <c r="C80" s="51">
        <v>0</v>
      </c>
      <c r="D80" s="55"/>
      <c r="E80" s="56">
        <v>0</v>
      </c>
      <c r="F80" s="54">
        <f t="shared" si="6"/>
        <v>0</v>
      </c>
      <c r="G80" s="99" t="s">
        <v>11</v>
      </c>
    </row>
    <row r="81" spans="2:7" x14ac:dyDescent="0.2">
      <c r="B81" s="50" t="s">
        <v>11</v>
      </c>
      <c r="C81" s="51">
        <v>0</v>
      </c>
      <c r="D81" s="55"/>
      <c r="E81" s="56">
        <v>0</v>
      </c>
      <c r="F81" s="54">
        <f t="shared" si="6"/>
        <v>0</v>
      </c>
      <c r="G81" s="99" t="s">
        <v>11</v>
      </c>
    </row>
    <row r="82" spans="2:7" x14ac:dyDescent="0.2">
      <c r="B82" s="50" t="s">
        <v>11</v>
      </c>
      <c r="C82" s="51">
        <v>0</v>
      </c>
      <c r="D82" s="55"/>
      <c r="E82" s="56">
        <v>0</v>
      </c>
      <c r="F82" s="54">
        <f t="shared" si="6"/>
        <v>0</v>
      </c>
      <c r="G82" s="99" t="s">
        <v>11</v>
      </c>
    </row>
    <row r="83" spans="2:7" x14ac:dyDescent="0.2">
      <c r="B83" s="50" t="s">
        <v>11</v>
      </c>
      <c r="C83" s="51">
        <v>0</v>
      </c>
      <c r="D83" s="55"/>
      <c r="E83" s="56">
        <v>0</v>
      </c>
      <c r="F83" s="54">
        <f t="shared" si="6"/>
        <v>0</v>
      </c>
      <c r="G83" s="99" t="s">
        <v>11</v>
      </c>
    </row>
    <row r="84" spans="2:7" x14ac:dyDescent="0.2">
      <c r="B84" s="72"/>
      <c r="C84" s="63"/>
      <c r="D84" s="90" t="s">
        <v>3</v>
      </c>
      <c r="E84" s="68"/>
      <c r="F84" s="93">
        <f>SUM(F74:F83)</f>
        <v>10500</v>
      </c>
      <c r="G84" s="98"/>
    </row>
    <row r="85" spans="2:7" x14ac:dyDescent="0.2">
      <c r="B85" s="72"/>
      <c r="D85" s="91" t="str">
        <f>Assumptions!B34</f>
        <v>Overhead and Profit</v>
      </c>
      <c r="E85" s="95">
        <f>Assumptions!C34</f>
        <v>0.22</v>
      </c>
      <c r="F85" s="67">
        <f>+MROUND(F84*E85,100)</f>
        <v>2300</v>
      </c>
      <c r="G85" s="77"/>
    </row>
    <row r="86" spans="2:7" x14ac:dyDescent="0.2">
      <c r="B86" s="72"/>
      <c r="D86" s="91" t="s">
        <v>3</v>
      </c>
      <c r="E86" s="66"/>
      <c r="F86" s="92">
        <f>F85+F84</f>
        <v>12800</v>
      </c>
      <c r="G86" s="77"/>
    </row>
    <row r="87" spans="2:7" x14ac:dyDescent="0.2">
      <c r="B87" s="72"/>
      <c r="D87" s="91" t="str">
        <f>Assumptions!B35</f>
        <v>Contingency</v>
      </c>
      <c r="E87" s="96">
        <f>Assumptions!C35</f>
        <v>0.3</v>
      </c>
      <c r="F87" s="64">
        <f>+MROUND((F86)*E87,100)</f>
        <v>3800</v>
      </c>
      <c r="G87" s="77"/>
    </row>
    <row r="88" spans="2:7" x14ac:dyDescent="0.2">
      <c r="B88" s="72"/>
      <c r="D88" s="91" t="s">
        <v>36</v>
      </c>
      <c r="E88" s="66"/>
      <c r="F88" s="93">
        <f>SUM(F86:F87)</f>
        <v>16600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500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1700</v>
      </c>
      <c r="G92" s="77"/>
    </row>
    <row r="93" spans="2:7" x14ac:dyDescent="0.2">
      <c r="B93" s="72"/>
      <c r="D93" s="91" t="str">
        <f>Assumptions!B40</f>
        <v>Engineering - Construction</v>
      </c>
      <c r="E93" s="96">
        <f>Assumptions!C40</f>
        <v>0.15</v>
      </c>
      <c r="F93" s="64">
        <f>+MROUND($F$88*E93,100)</f>
        <v>2500</v>
      </c>
      <c r="G93" s="77"/>
    </row>
    <row r="94" spans="2:7" x14ac:dyDescent="0.2">
      <c r="B94" s="32"/>
      <c r="C94" s="63"/>
      <c r="D94" s="94" t="s">
        <v>58</v>
      </c>
      <c r="E94" s="68"/>
      <c r="F94" s="124">
        <f>SUM(F88:F93)</f>
        <v>21300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Permeable Reactive Barriers - Demonstration 1 - Landfill Focused Injection Test</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ht="38.25" x14ac:dyDescent="0.2">
      <c r="B105" s="50" t="s">
        <v>128</v>
      </c>
      <c r="C105" s="51">
        <v>19</v>
      </c>
      <c r="D105" s="55" t="s">
        <v>56</v>
      </c>
      <c r="E105" s="56">
        <v>3400</v>
      </c>
      <c r="F105" s="54">
        <f>+MROUND(C105*E105,100)</f>
        <v>64600</v>
      </c>
      <c r="G105" s="99" t="s">
        <v>131</v>
      </c>
    </row>
    <row r="106" spans="2:7" x14ac:dyDescent="0.2">
      <c r="B106" s="50" t="s">
        <v>129</v>
      </c>
      <c r="C106" s="51">
        <v>120</v>
      </c>
      <c r="D106" s="55" t="s">
        <v>47</v>
      </c>
      <c r="E106" s="56">
        <v>130</v>
      </c>
      <c r="F106" s="54">
        <f t="shared" ref="F106:F114" si="7">+MROUND(C106*E106,100)</f>
        <v>15600</v>
      </c>
      <c r="G106" s="99" t="s">
        <v>167</v>
      </c>
    </row>
    <row r="107" spans="2:7" ht="25.5" x14ac:dyDescent="0.2">
      <c r="B107" s="50" t="s">
        <v>130</v>
      </c>
      <c r="C107" s="51">
        <v>80</v>
      </c>
      <c r="D107" s="55" t="s">
        <v>47</v>
      </c>
      <c r="E107" s="56">
        <v>130</v>
      </c>
      <c r="F107" s="54">
        <f t="shared" si="7"/>
        <v>10400</v>
      </c>
      <c r="G107" s="99" t="s">
        <v>168</v>
      </c>
    </row>
    <row r="108" spans="2:7" x14ac:dyDescent="0.2">
      <c r="B108" s="50" t="s">
        <v>11</v>
      </c>
      <c r="C108" s="51">
        <v>0</v>
      </c>
      <c r="D108" s="55"/>
      <c r="E108" s="56">
        <v>0</v>
      </c>
      <c r="F108" s="54">
        <f t="shared" si="7"/>
        <v>0</v>
      </c>
      <c r="G108" s="99"/>
    </row>
    <row r="109" spans="2:7" x14ac:dyDescent="0.2">
      <c r="B109" s="50" t="s">
        <v>11</v>
      </c>
      <c r="C109" s="51">
        <v>0</v>
      </c>
      <c r="D109" s="55"/>
      <c r="E109" s="56">
        <v>0</v>
      </c>
      <c r="F109" s="54">
        <f t="shared" si="7"/>
        <v>0</v>
      </c>
      <c r="G109" s="99"/>
    </row>
    <row r="110" spans="2:7" x14ac:dyDescent="0.2">
      <c r="B110" s="50" t="s">
        <v>11</v>
      </c>
      <c r="C110" s="51">
        <v>0</v>
      </c>
      <c r="D110" s="55"/>
      <c r="E110" s="56">
        <v>0</v>
      </c>
      <c r="F110" s="54">
        <f t="shared" si="7"/>
        <v>0</v>
      </c>
      <c r="G110" s="99"/>
    </row>
    <row r="111" spans="2:7" x14ac:dyDescent="0.2">
      <c r="B111" s="50" t="s">
        <v>11</v>
      </c>
      <c r="C111" s="51">
        <v>0</v>
      </c>
      <c r="D111" s="55"/>
      <c r="E111" s="56">
        <v>0</v>
      </c>
      <c r="F111" s="54">
        <f t="shared" si="7"/>
        <v>0</v>
      </c>
      <c r="G111" s="99" t="s">
        <v>11</v>
      </c>
    </row>
    <row r="112" spans="2:7" x14ac:dyDescent="0.2">
      <c r="B112" s="50" t="s">
        <v>11</v>
      </c>
      <c r="C112" s="51">
        <v>0</v>
      </c>
      <c r="D112" s="55"/>
      <c r="E112" s="56">
        <v>0</v>
      </c>
      <c r="F112" s="54">
        <f t="shared" si="7"/>
        <v>0</v>
      </c>
      <c r="G112" s="99" t="s">
        <v>11</v>
      </c>
    </row>
    <row r="113" spans="2:7" x14ac:dyDescent="0.2">
      <c r="B113" s="50" t="s">
        <v>11</v>
      </c>
      <c r="C113" s="51">
        <v>0</v>
      </c>
      <c r="D113" s="55"/>
      <c r="E113" s="56">
        <v>0</v>
      </c>
      <c r="F113" s="54">
        <f t="shared" si="7"/>
        <v>0</v>
      </c>
      <c r="G113" s="99" t="s">
        <v>11</v>
      </c>
    </row>
    <row r="114" spans="2:7" x14ac:dyDescent="0.2">
      <c r="B114" s="50" t="s">
        <v>11</v>
      </c>
      <c r="C114" s="51">
        <v>0</v>
      </c>
      <c r="D114" s="55"/>
      <c r="E114" s="56">
        <v>0</v>
      </c>
      <c r="F114" s="54">
        <f t="shared" si="7"/>
        <v>0</v>
      </c>
      <c r="G114" s="99" t="s">
        <v>11</v>
      </c>
    </row>
    <row r="115" spans="2:7" x14ac:dyDescent="0.2">
      <c r="B115" s="72"/>
      <c r="C115" s="63"/>
      <c r="D115" s="90" t="s">
        <v>3</v>
      </c>
      <c r="E115" s="68"/>
      <c r="F115" s="93">
        <f>SUM(F105:F114)</f>
        <v>90600</v>
      </c>
      <c r="G115" s="98"/>
    </row>
    <row r="116" spans="2:7" x14ac:dyDescent="0.2">
      <c r="B116" s="72"/>
      <c r="D116" s="91" t="str">
        <f>Assumptions!B45</f>
        <v>Contingency</v>
      </c>
      <c r="E116" s="95">
        <f>Assumptions!C45</f>
        <v>0.1</v>
      </c>
      <c r="F116" s="64">
        <f>+MROUND((F115)*E116,100)</f>
        <v>9100</v>
      </c>
      <c r="G116" s="77"/>
    </row>
    <row r="117" spans="2:7" x14ac:dyDescent="0.2">
      <c r="B117" s="72"/>
      <c r="D117" s="91" t="s">
        <v>3</v>
      </c>
      <c r="E117" s="66"/>
      <c r="F117" s="93">
        <f>SUM(F115:F116)</f>
        <v>99700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5000</v>
      </c>
      <c r="G119" s="77"/>
    </row>
    <row r="120" spans="2:7" x14ac:dyDescent="0.2">
      <c r="B120" s="72"/>
      <c r="D120" s="91" t="str">
        <f>Assumptions!B48</f>
        <v>Engineering - Planning/Consultation</v>
      </c>
      <c r="E120" s="96">
        <f>Assumptions!C48</f>
        <v>0.03</v>
      </c>
      <c r="F120" s="64">
        <f>+MROUND($F$117*E120,100)</f>
        <v>3000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107700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D75:D83 D105:D114 D10:D23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480</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17665</v>
      </c>
      <c r="F9" s="64">
        <f>+MROUND(C9*E9,100)</f>
        <v>17700</v>
      </c>
      <c r="G9" s="77" t="str">
        <f>CONCATENATE(Assumptions!C9*100,"%"," ","of Other Items")</f>
        <v>5% of Other Items</v>
      </c>
      <c r="S9" s="147"/>
    </row>
    <row r="10" spans="2:19" ht="38.25" x14ac:dyDescent="0.2">
      <c r="B10" s="50" t="s">
        <v>113</v>
      </c>
      <c r="C10" s="51">
        <v>72</v>
      </c>
      <c r="D10" s="55" t="s">
        <v>56</v>
      </c>
      <c r="E10" s="56">
        <v>2500</v>
      </c>
      <c r="F10" s="54">
        <f t="shared" ref="F10:F22" si="0">+MROUND(C10*E10,100)</f>
        <v>180000</v>
      </c>
      <c r="G10" s="58" t="s">
        <v>132</v>
      </c>
      <c r="S10" s="147"/>
    </row>
    <row r="11" spans="2:19" ht="25.5" x14ac:dyDescent="0.2">
      <c r="B11" s="50" t="s">
        <v>114</v>
      </c>
      <c r="C11" s="51">
        <v>72</v>
      </c>
      <c r="D11" s="55" t="s">
        <v>56</v>
      </c>
      <c r="E11" s="56">
        <v>850</v>
      </c>
      <c r="F11" s="54">
        <f t="shared" si="0"/>
        <v>61200</v>
      </c>
      <c r="G11" s="58" t="s">
        <v>133</v>
      </c>
      <c r="S11" s="147"/>
    </row>
    <row r="12" spans="2:19" ht="25.5" x14ac:dyDescent="0.2">
      <c r="B12" s="50" t="s">
        <v>115</v>
      </c>
      <c r="C12" s="51">
        <v>1</v>
      </c>
      <c r="D12" s="55" t="s">
        <v>34</v>
      </c>
      <c r="E12" s="56">
        <v>5785</v>
      </c>
      <c r="F12" s="54">
        <f t="shared" ref="F12:F16" si="1">+MROUND(C12*E12,100)</f>
        <v>5800</v>
      </c>
      <c r="G12" s="58" t="s">
        <v>134</v>
      </c>
      <c r="S12" s="147"/>
    </row>
    <row r="13" spans="2:19" ht="25.5" x14ac:dyDescent="0.2">
      <c r="B13" s="50" t="s">
        <v>116</v>
      </c>
      <c r="C13" s="51">
        <v>200</v>
      </c>
      <c r="D13" s="55" t="s">
        <v>21</v>
      </c>
      <c r="E13" s="56">
        <v>106</v>
      </c>
      <c r="F13" s="54">
        <f t="shared" si="1"/>
        <v>21200</v>
      </c>
      <c r="G13" s="58" t="s">
        <v>135</v>
      </c>
      <c r="S13" s="147"/>
    </row>
    <row r="14" spans="2:19" ht="25.5" x14ac:dyDescent="0.2">
      <c r="B14" s="50" t="s">
        <v>117</v>
      </c>
      <c r="C14" s="51">
        <v>4940</v>
      </c>
      <c r="D14" s="55" t="s">
        <v>118</v>
      </c>
      <c r="E14" s="120">
        <v>11.25</v>
      </c>
      <c r="F14" s="54">
        <f t="shared" si="1"/>
        <v>55600</v>
      </c>
      <c r="G14" s="58" t="s">
        <v>136</v>
      </c>
      <c r="S14" s="147"/>
    </row>
    <row r="15" spans="2:19" ht="25.5" x14ac:dyDescent="0.2">
      <c r="B15" s="50" t="s">
        <v>119</v>
      </c>
      <c r="C15" s="51">
        <v>21</v>
      </c>
      <c r="D15" s="55" t="s">
        <v>75</v>
      </c>
      <c r="E15" s="56">
        <v>1265</v>
      </c>
      <c r="F15" s="54">
        <f t="shared" si="1"/>
        <v>26600</v>
      </c>
      <c r="G15" s="58" t="s">
        <v>137</v>
      </c>
      <c r="S15" s="147"/>
    </row>
    <row r="16" spans="2:19" x14ac:dyDescent="0.2">
      <c r="B16" s="50" t="s">
        <v>120</v>
      </c>
      <c r="C16" s="51">
        <v>1</v>
      </c>
      <c r="D16" s="55" t="s">
        <v>75</v>
      </c>
      <c r="E16" s="56">
        <v>2865</v>
      </c>
      <c r="F16" s="54">
        <f t="shared" si="1"/>
        <v>2900</v>
      </c>
      <c r="G16" s="58" t="s">
        <v>138</v>
      </c>
      <c r="S16" s="147"/>
    </row>
    <row r="17" spans="2:19" x14ac:dyDescent="0.2">
      <c r="B17" s="50"/>
      <c r="C17" s="51">
        <v>0</v>
      </c>
      <c r="D17" s="55" t="s">
        <v>11</v>
      </c>
      <c r="E17" s="56">
        <v>0</v>
      </c>
      <c r="F17" s="54">
        <f t="shared" ref="F17" si="2">+MROUND(C17*E17,100)</f>
        <v>0</v>
      </c>
      <c r="G17" s="58"/>
      <c r="S17" s="147"/>
    </row>
    <row r="18" spans="2:19" x14ac:dyDescent="0.2">
      <c r="B18" s="50"/>
      <c r="C18" s="51">
        <v>0</v>
      </c>
      <c r="D18" s="55" t="s">
        <v>11</v>
      </c>
      <c r="E18" s="56">
        <v>0</v>
      </c>
      <c r="F18" s="54">
        <f t="shared" si="0"/>
        <v>0</v>
      </c>
      <c r="G18" s="58"/>
      <c r="S18" s="147"/>
    </row>
    <row r="19" spans="2:19" x14ac:dyDescent="0.2">
      <c r="B19" s="50" t="s">
        <v>11</v>
      </c>
      <c r="C19" s="51">
        <v>0</v>
      </c>
      <c r="D19" s="55"/>
      <c r="E19" s="56">
        <v>0</v>
      </c>
      <c r="F19" s="54">
        <f t="shared" si="0"/>
        <v>0</v>
      </c>
      <c r="G19" s="99"/>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3">+MROUND(C23*E23,1000)</f>
        <v>0</v>
      </c>
      <c r="G23" s="99" t="s">
        <v>11</v>
      </c>
      <c r="S23" s="147"/>
    </row>
    <row r="24" spans="2:19" x14ac:dyDescent="0.2">
      <c r="B24" s="72"/>
      <c r="C24" s="63"/>
      <c r="D24" s="90" t="s">
        <v>3</v>
      </c>
      <c r="E24" s="68"/>
      <c r="F24" s="93">
        <f>+SUM(F9:F23)</f>
        <v>371000</v>
      </c>
      <c r="G24" s="98"/>
    </row>
    <row r="25" spans="2:19" x14ac:dyDescent="0.2">
      <c r="B25" s="72"/>
      <c r="D25" s="91" t="str">
        <f>Assumptions!B10</f>
        <v>Overhead and Profit</v>
      </c>
      <c r="E25" s="95">
        <f>Assumptions!C10</f>
        <v>0.22</v>
      </c>
      <c r="F25" s="67">
        <f>+MROUND(F24*E25,100)</f>
        <v>81600</v>
      </c>
      <c r="G25" s="77"/>
    </row>
    <row r="26" spans="2:19" x14ac:dyDescent="0.2">
      <c r="B26" s="72"/>
      <c r="D26" s="91" t="s">
        <v>3</v>
      </c>
      <c r="E26" s="66"/>
      <c r="F26" s="92">
        <f>F25+F24</f>
        <v>452600</v>
      </c>
      <c r="G26" s="77"/>
    </row>
    <row r="27" spans="2:19" x14ac:dyDescent="0.2">
      <c r="B27" s="72"/>
      <c r="D27" s="91" t="str">
        <f>Assumptions!B11</f>
        <v>Contingency</v>
      </c>
      <c r="E27" s="96">
        <f>Assumptions!C11</f>
        <v>0.25</v>
      </c>
      <c r="F27" s="64">
        <f>+MROUND((F26)*E27,100)</f>
        <v>113200</v>
      </c>
      <c r="G27" s="77"/>
    </row>
    <row r="28" spans="2:19" x14ac:dyDescent="0.2">
      <c r="B28" s="72"/>
      <c r="D28" s="91" t="s">
        <v>36</v>
      </c>
      <c r="E28" s="96"/>
      <c r="F28" s="93">
        <f>SUM(F26:F27)</f>
        <v>565800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28300</v>
      </c>
      <c r="G30" s="77"/>
    </row>
    <row r="31" spans="2:19" x14ac:dyDescent="0.2">
      <c r="B31" s="72"/>
      <c r="D31" s="91" t="str">
        <f>Assumptions!B14</f>
        <v>Engineering - Planning/Consultation</v>
      </c>
      <c r="E31" s="96">
        <f>Assumptions!C14</f>
        <v>0.05</v>
      </c>
      <c r="F31" s="64">
        <f t="shared" ref="F31:F33" si="4">+MROUND($F$28*E31,100)</f>
        <v>28300</v>
      </c>
      <c r="G31" s="77"/>
    </row>
    <row r="32" spans="2:19" x14ac:dyDescent="0.2">
      <c r="B32" s="72"/>
      <c r="D32" s="91" t="str">
        <f>Assumptions!B15</f>
        <v>Engineering - Design</v>
      </c>
      <c r="E32" s="96">
        <f>Assumptions!C15</f>
        <v>0.1</v>
      </c>
      <c r="F32" s="64">
        <f t="shared" si="4"/>
        <v>56600</v>
      </c>
      <c r="G32" s="77"/>
    </row>
    <row r="33" spans="2:7" x14ac:dyDescent="0.2">
      <c r="B33" s="72"/>
      <c r="D33" s="91" t="str">
        <f>Assumptions!B16</f>
        <v>Engineering - Construction</v>
      </c>
      <c r="E33" s="96">
        <f>Assumptions!C16</f>
        <v>0.15</v>
      </c>
      <c r="F33" s="64">
        <f t="shared" si="4"/>
        <v>84900</v>
      </c>
      <c r="G33" s="77"/>
    </row>
    <row r="34" spans="2:7" x14ac:dyDescent="0.2">
      <c r="B34" s="32"/>
      <c r="C34" s="63"/>
      <c r="D34" s="94" t="s">
        <v>19</v>
      </c>
      <c r="E34" s="68"/>
      <c r="F34" s="124">
        <f>SUM(F28:F33)</f>
        <v>763900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Permeable Reactive Barriers - Demonstration 2 (Eldredge Park South Main St. Area)</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165</v>
      </c>
    </row>
    <row r="46" spans="2:7" x14ac:dyDescent="0.2">
      <c r="B46" s="50" t="s">
        <v>11</v>
      </c>
      <c r="C46" s="51">
        <v>0</v>
      </c>
      <c r="D46" s="55"/>
      <c r="E46" s="56">
        <v>0</v>
      </c>
      <c r="F46" s="54">
        <f t="shared" ref="F46:F54" si="5">+MROUND(C46*E46,100)</f>
        <v>0</v>
      </c>
      <c r="G46" s="99" t="s">
        <v>11</v>
      </c>
    </row>
    <row r="47" spans="2:7" x14ac:dyDescent="0.2">
      <c r="B47" s="50" t="s">
        <v>11</v>
      </c>
      <c r="C47" s="51">
        <v>0</v>
      </c>
      <c r="D47" s="55"/>
      <c r="E47" s="56">
        <v>0</v>
      </c>
      <c r="F47" s="54">
        <f t="shared" si="5"/>
        <v>0</v>
      </c>
      <c r="G47" s="99" t="s">
        <v>11</v>
      </c>
    </row>
    <row r="48" spans="2:7" x14ac:dyDescent="0.2">
      <c r="B48" s="50" t="s">
        <v>11</v>
      </c>
      <c r="C48" s="51">
        <v>0</v>
      </c>
      <c r="D48" s="55"/>
      <c r="E48" s="56">
        <v>0</v>
      </c>
      <c r="F48" s="54">
        <f t="shared" si="5"/>
        <v>0</v>
      </c>
      <c r="G48" s="99" t="s">
        <v>11</v>
      </c>
    </row>
    <row r="49" spans="2:7" x14ac:dyDescent="0.2">
      <c r="B49" s="50" t="s">
        <v>11</v>
      </c>
      <c r="C49" s="51">
        <v>0</v>
      </c>
      <c r="D49" s="55"/>
      <c r="E49" s="56">
        <v>0</v>
      </c>
      <c r="F49" s="54">
        <f t="shared" si="5"/>
        <v>0</v>
      </c>
      <c r="G49" s="99" t="s">
        <v>11</v>
      </c>
    </row>
    <row r="50" spans="2:7" x14ac:dyDescent="0.2">
      <c r="B50" s="50" t="s">
        <v>11</v>
      </c>
      <c r="C50" s="51">
        <v>0</v>
      </c>
      <c r="D50" s="55"/>
      <c r="E50" s="56">
        <v>0</v>
      </c>
      <c r="F50" s="54">
        <f t="shared" si="5"/>
        <v>0</v>
      </c>
      <c r="G50" s="99" t="s">
        <v>11</v>
      </c>
    </row>
    <row r="51" spans="2:7" x14ac:dyDescent="0.2">
      <c r="B51" s="50" t="s">
        <v>11</v>
      </c>
      <c r="C51" s="51">
        <v>0</v>
      </c>
      <c r="D51" s="55"/>
      <c r="E51" s="56">
        <v>0</v>
      </c>
      <c r="F51" s="54">
        <f t="shared" si="5"/>
        <v>0</v>
      </c>
      <c r="G51" s="99" t="s">
        <v>11</v>
      </c>
    </row>
    <row r="52" spans="2:7" x14ac:dyDescent="0.2">
      <c r="B52" s="50" t="s">
        <v>11</v>
      </c>
      <c r="C52" s="51">
        <v>0</v>
      </c>
      <c r="D52" s="55"/>
      <c r="E52" s="56">
        <v>0</v>
      </c>
      <c r="F52" s="54">
        <f t="shared" si="5"/>
        <v>0</v>
      </c>
      <c r="G52" s="99" t="s">
        <v>11</v>
      </c>
    </row>
    <row r="53" spans="2:7" x14ac:dyDescent="0.2">
      <c r="B53" s="50" t="s">
        <v>11</v>
      </c>
      <c r="C53" s="51">
        <v>0</v>
      </c>
      <c r="D53" s="55"/>
      <c r="E53" s="56">
        <v>0</v>
      </c>
      <c r="F53" s="54">
        <f t="shared" si="5"/>
        <v>0</v>
      </c>
      <c r="G53" s="99" t="s">
        <v>11</v>
      </c>
    </row>
    <row r="54" spans="2:7" x14ac:dyDescent="0.2">
      <c r="B54" s="50" t="s">
        <v>11</v>
      </c>
      <c r="C54" s="51">
        <v>0</v>
      </c>
      <c r="D54" s="55"/>
      <c r="E54" s="56">
        <v>0</v>
      </c>
      <c r="F54" s="54">
        <f t="shared" si="5"/>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Permeable Reactive Barriers - Demonstration 2 (Eldredge Park South Main St. Area)</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1375</v>
      </c>
      <c r="F74" s="111">
        <f>+MROUND(C74*E74,100)</f>
        <v>1400</v>
      </c>
      <c r="G74" s="112" t="str">
        <f>CONCATENATE(Assumptions!C33*100,"%"," ","of Other Items")</f>
        <v>5% of Other Items</v>
      </c>
    </row>
    <row r="75" spans="2:7" ht="38.25" x14ac:dyDescent="0.2">
      <c r="B75" s="50" t="s">
        <v>113</v>
      </c>
      <c r="C75" s="51">
        <v>11</v>
      </c>
      <c r="D75" s="55" t="s">
        <v>56</v>
      </c>
      <c r="E75" s="56">
        <v>2500</v>
      </c>
      <c r="F75" s="54">
        <f t="shared" ref="F75:F83" si="6">+MROUND(C75*E75,100)</f>
        <v>27500</v>
      </c>
      <c r="G75" s="58" t="s">
        <v>132</v>
      </c>
    </row>
    <row r="76" spans="2:7" ht="38.25" x14ac:dyDescent="0.2">
      <c r="B76" s="50" t="s">
        <v>11</v>
      </c>
      <c r="C76" s="51">
        <v>0</v>
      </c>
      <c r="D76" s="55"/>
      <c r="E76" s="56">
        <v>0</v>
      </c>
      <c r="F76" s="54">
        <f t="shared" si="6"/>
        <v>0</v>
      </c>
      <c r="G76" s="99" t="s">
        <v>166</v>
      </c>
    </row>
    <row r="77" spans="2:7" x14ac:dyDescent="0.2">
      <c r="B77" s="50" t="s">
        <v>11</v>
      </c>
      <c r="C77" s="51">
        <v>0</v>
      </c>
      <c r="D77" s="55"/>
      <c r="E77" s="56">
        <v>0</v>
      </c>
      <c r="F77" s="54">
        <f t="shared" si="6"/>
        <v>0</v>
      </c>
      <c r="G77" s="99" t="s">
        <v>11</v>
      </c>
    </row>
    <row r="78" spans="2:7" x14ac:dyDescent="0.2">
      <c r="B78" s="50" t="s">
        <v>11</v>
      </c>
      <c r="C78" s="51">
        <v>0</v>
      </c>
      <c r="D78" s="55"/>
      <c r="E78" s="56">
        <v>0</v>
      </c>
      <c r="F78" s="54">
        <f t="shared" si="6"/>
        <v>0</v>
      </c>
      <c r="G78" s="99"/>
    </row>
    <row r="79" spans="2:7" x14ac:dyDescent="0.2">
      <c r="B79" s="50" t="s">
        <v>11</v>
      </c>
      <c r="C79" s="51">
        <v>0</v>
      </c>
      <c r="D79" s="55"/>
      <c r="E79" s="56">
        <v>0</v>
      </c>
      <c r="F79" s="54">
        <f t="shared" si="6"/>
        <v>0</v>
      </c>
      <c r="G79" s="99" t="s">
        <v>11</v>
      </c>
    </row>
    <row r="80" spans="2:7" x14ac:dyDescent="0.2">
      <c r="B80" s="50" t="s">
        <v>11</v>
      </c>
      <c r="C80" s="51">
        <v>0</v>
      </c>
      <c r="D80" s="55"/>
      <c r="E80" s="56">
        <v>0</v>
      </c>
      <c r="F80" s="54">
        <f t="shared" si="6"/>
        <v>0</v>
      </c>
      <c r="G80" s="99" t="s">
        <v>11</v>
      </c>
    </row>
    <row r="81" spans="2:7" x14ac:dyDescent="0.2">
      <c r="B81" s="50" t="s">
        <v>11</v>
      </c>
      <c r="C81" s="51">
        <v>0</v>
      </c>
      <c r="D81" s="55"/>
      <c r="E81" s="56">
        <v>0</v>
      </c>
      <c r="F81" s="54">
        <f t="shared" si="6"/>
        <v>0</v>
      </c>
      <c r="G81" s="99" t="s">
        <v>11</v>
      </c>
    </row>
    <row r="82" spans="2:7" x14ac:dyDescent="0.2">
      <c r="B82" s="50" t="s">
        <v>11</v>
      </c>
      <c r="C82" s="51">
        <v>0</v>
      </c>
      <c r="D82" s="55"/>
      <c r="E82" s="56">
        <v>0</v>
      </c>
      <c r="F82" s="54">
        <f t="shared" si="6"/>
        <v>0</v>
      </c>
      <c r="G82" s="99" t="s">
        <v>11</v>
      </c>
    </row>
    <row r="83" spans="2:7" x14ac:dyDescent="0.2">
      <c r="B83" s="50" t="s">
        <v>11</v>
      </c>
      <c r="C83" s="51">
        <v>0</v>
      </c>
      <c r="D83" s="55"/>
      <c r="E83" s="56">
        <v>0</v>
      </c>
      <c r="F83" s="54">
        <f t="shared" si="6"/>
        <v>0</v>
      </c>
      <c r="G83" s="99" t="s">
        <v>11</v>
      </c>
    </row>
    <row r="84" spans="2:7" x14ac:dyDescent="0.2">
      <c r="B84" s="72"/>
      <c r="C84" s="63"/>
      <c r="D84" s="90" t="s">
        <v>3</v>
      </c>
      <c r="E84" s="68"/>
      <c r="F84" s="93">
        <f>SUM(F74:F83)</f>
        <v>28900</v>
      </c>
      <c r="G84" s="98"/>
    </row>
    <row r="85" spans="2:7" x14ac:dyDescent="0.2">
      <c r="B85" s="72"/>
      <c r="D85" s="91" t="str">
        <f>Assumptions!B34</f>
        <v>Overhead and Profit</v>
      </c>
      <c r="E85" s="95">
        <f>Assumptions!C34</f>
        <v>0.22</v>
      </c>
      <c r="F85" s="67">
        <f>+MROUND(F84*E85,100)</f>
        <v>6400</v>
      </c>
      <c r="G85" s="77"/>
    </row>
    <row r="86" spans="2:7" x14ac:dyDescent="0.2">
      <c r="B86" s="72"/>
      <c r="D86" s="91" t="s">
        <v>3</v>
      </c>
      <c r="E86" s="66"/>
      <c r="F86" s="92">
        <f>F85+F84</f>
        <v>35300</v>
      </c>
      <c r="G86" s="77"/>
    </row>
    <row r="87" spans="2:7" x14ac:dyDescent="0.2">
      <c r="B87" s="72"/>
      <c r="D87" s="91" t="str">
        <f>Assumptions!B35</f>
        <v>Contingency</v>
      </c>
      <c r="E87" s="96">
        <f>Assumptions!C35</f>
        <v>0.3</v>
      </c>
      <c r="F87" s="64">
        <f>+MROUND((F86)*E87,100)</f>
        <v>10600</v>
      </c>
      <c r="G87" s="77"/>
    </row>
    <row r="88" spans="2:7" x14ac:dyDescent="0.2">
      <c r="B88" s="72"/>
      <c r="D88" s="91" t="s">
        <v>36</v>
      </c>
      <c r="E88" s="66"/>
      <c r="F88" s="93">
        <f>SUM(F86:F87)</f>
        <v>45900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1400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4600</v>
      </c>
      <c r="G92" s="77"/>
    </row>
    <row r="93" spans="2:7" x14ac:dyDescent="0.2">
      <c r="B93" s="72"/>
      <c r="D93" s="91" t="str">
        <f>Assumptions!B40</f>
        <v>Engineering - Construction</v>
      </c>
      <c r="E93" s="96">
        <f>Assumptions!C40</f>
        <v>0.15</v>
      </c>
      <c r="F93" s="64">
        <f>+MROUND($F$88*E93,100)</f>
        <v>6900</v>
      </c>
      <c r="G93" s="77"/>
    </row>
    <row r="94" spans="2:7" x14ac:dyDescent="0.2">
      <c r="B94" s="32"/>
      <c r="C94" s="63"/>
      <c r="D94" s="94" t="s">
        <v>58</v>
      </c>
      <c r="E94" s="68"/>
      <c r="F94" s="124">
        <f>SUM(F88:F93)</f>
        <v>58800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Permeable Reactive Barriers - Demonstration 2 (Eldredge Park South Main St. Area)</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ht="38.25" x14ac:dyDescent="0.2">
      <c r="B105" s="50" t="s">
        <v>128</v>
      </c>
      <c r="C105" s="51">
        <v>57</v>
      </c>
      <c r="D105" s="55" t="s">
        <v>56</v>
      </c>
      <c r="E105" s="56">
        <v>3400</v>
      </c>
      <c r="F105" s="54">
        <f>+MROUND(C105*E105,100)</f>
        <v>193800</v>
      </c>
      <c r="G105" s="99" t="s">
        <v>131</v>
      </c>
    </row>
    <row r="106" spans="2:7" x14ac:dyDescent="0.2">
      <c r="B106" s="50" t="s">
        <v>129</v>
      </c>
      <c r="C106" s="51">
        <v>160</v>
      </c>
      <c r="D106" s="55" t="s">
        <v>47</v>
      </c>
      <c r="E106" s="56">
        <v>130</v>
      </c>
      <c r="F106" s="54">
        <f t="shared" ref="F106:F109" si="7">+MROUND(C106*E106,100)</f>
        <v>20800</v>
      </c>
      <c r="G106" s="99" t="s">
        <v>167</v>
      </c>
    </row>
    <row r="107" spans="2:7" ht="25.5" x14ac:dyDescent="0.2">
      <c r="B107" s="50" t="s">
        <v>130</v>
      </c>
      <c r="C107" s="51">
        <v>80</v>
      </c>
      <c r="D107" s="55" t="s">
        <v>47</v>
      </c>
      <c r="E107" s="56">
        <v>130</v>
      </c>
      <c r="F107" s="54">
        <f t="shared" si="7"/>
        <v>10400</v>
      </c>
      <c r="G107" s="99" t="s">
        <v>168</v>
      </c>
    </row>
    <row r="108" spans="2:7" x14ac:dyDescent="0.2">
      <c r="B108" s="50" t="s">
        <v>11</v>
      </c>
      <c r="C108" s="51">
        <v>0</v>
      </c>
      <c r="D108" s="55"/>
      <c r="E108" s="56">
        <v>0</v>
      </c>
      <c r="F108" s="54">
        <f t="shared" si="7"/>
        <v>0</v>
      </c>
      <c r="G108" s="99" t="s">
        <v>11</v>
      </c>
    </row>
    <row r="109" spans="2:7" x14ac:dyDescent="0.2">
      <c r="B109" s="50" t="s">
        <v>11</v>
      </c>
      <c r="C109" s="51">
        <v>0</v>
      </c>
      <c r="D109" s="55"/>
      <c r="E109" s="56">
        <v>0</v>
      </c>
      <c r="F109" s="54">
        <f t="shared" si="7"/>
        <v>0</v>
      </c>
      <c r="G109" s="99"/>
    </row>
    <row r="110" spans="2:7" x14ac:dyDescent="0.2">
      <c r="B110" s="50" t="s">
        <v>11</v>
      </c>
      <c r="C110" s="51">
        <v>0</v>
      </c>
      <c r="D110" s="55"/>
      <c r="E110" s="56">
        <v>0</v>
      </c>
      <c r="F110" s="54">
        <f t="shared" ref="F110:F114" si="8">+MROUND(C110*E110,100)</f>
        <v>0</v>
      </c>
      <c r="G110" s="99"/>
    </row>
    <row r="111" spans="2:7" x14ac:dyDescent="0.2">
      <c r="B111" s="50" t="s">
        <v>11</v>
      </c>
      <c r="C111" s="51">
        <v>0</v>
      </c>
      <c r="D111" s="55"/>
      <c r="E111" s="56">
        <v>0</v>
      </c>
      <c r="F111" s="54">
        <f t="shared" si="8"/>
        <v>0</v>
      </c>
      <c r="G111" s="99" t="s">
        <v>11</v>
      </c>
    </row>
    <row r="112" spans="2:7" x14ac:dyDescent="0.2">
      <c r="B112" s="50" t="s">
        <v>11</v>
      </c>
      <c r="C112" s="51">
        <v>0</v>
      </c>
      <c r="D112" s="55"/>
      <c r="E112" s="56">
        <v>0</v>
      </c>
      <c r="F112" s="54">
        <f t="shared" si="8"/>
        <v>0</v>
      </c>
      <c r="G112" s="99" t="s">
        <v>11</v>
      </c>
    </row>
    <row r="113" spans="2:7" x14ac:dyDescent="0.2">
      <c r="B113" s="50" t="s">
        <v>11</v>
      </c>
      <c r="C113" s="51">
        <v>0</v>
      </c>
      <c r="D113" s="55"/>
      <c r="E113" s="56">
        <v>0</v>
      </c>
      <c r="F113" s="54">
        <f t="shared" si="8"/>
        <v>0</v>
      </c>
      <c r="G113" s="99" t="s">
        <v>11</v>
      </c>
    </row>
    <row r="114" spans="2:7" x14ac:dyDescent="0.2">
      <c r="B114" s="50" t="s">
        <v>11</v>
      </c>
      <c r="C114" s="51">
        <v>0</v>
      </c>
      <c r="D114" s="55"/>
      <c r="E114" s="56">
        <v>0</v>
      </c>
      <c r="F114" s="54">
        <f t="shared" si="8"/>
        <v>0</v>
      </c>
      <c r="G114" s="99" t="s">
        <v>11</v>
      </c>
    </row>
    <row r="115" spans="2:7" x14ac:dyDescent="0.2">
      <c r="B115" s="72"/>
      <c r="C115" s="63"/>
      <c r="D115" s="90" t="s">
        <v>3</v>
      </c>
      <c r="E115" s="68"/>
      <c r="F115" s="93">
        <f>SUM(F105:F114)</f>
        <v>225000</v>
      </c>
      <c r="G115" s="98"/>
    </row>
    <row r="116" spans="2:7" x14ac:dyDescent="0.2">
      <c r="B116" s="72"/>
      <c r="D116" s="91" t="str">
        <f>Assumptions!B45</f>
        <v>Contingency</v>
      </c>
      <c r="E116" s="95">
        <f>Assumptions!C45</f>
        <v>0.1</v>
      </c>
      <c r="F116" s="64">
        <f>+MROUND((F115)*E116,100)</f>
        <v>22500</v>
      </c>
      <c r="G116" s="77"/>
    </row>
    <row r="117" spans="2:7" x14ac:dyDescent="0.2">
      <c r="B117" s="72"/>
      <c r="D117" s="91" t="s">
        <v>3</v>
      </c>
      <c r="E117" s="66"/>
      <c r="F117" s="93">
        <f>SUM(F115:F116)</f>
        <v>247500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12400</v>
      </c>
      <c r="G119" s="77"/>
    </row>
    <row r="120" spans="2:7" x14ac:dyDescent="0.2">
      <c r="B120" s="72"/>
      <c r="D120" s="91" t="str">
        <f>Assumptions!B48</f>
        <v>Engineering - Planning/Consultation</v>
      </c>
      <c r="E120" s="96">
        <f>Assumptions!C48</f>
        <v>0.03</v>
      </c>
      <c r="F120" s="64">
        <f>+MROUND($F$117*E120,100)</f>
        <v>7400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267300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D75:D83 D105:D114 D10:D23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2:DD296"/>
  <sheetViews>
    <sheetView view="pageBreakPreview" zoomScale="90" zoomScaleNormal="75" zoomScaleSheetLayoutView="90" workbookViewId="0">
      <pane xSplit="28" ySplit="8" topLeftCell="AC27" activePane="bottomRight" state="frozen"/>
      <selection activeCell="P57" sqref="P57"/>
      <selection pane="topRight" activeCell="P57" sqref="P57"/>
      <selection pane="bottomLeft" activeCell="P57" sqref="P57"/>
      <selection pane="bottomRight" activeCell="C14" sqref="C14"/>
    </sheetView>
  </sheetViews>
  <sheetFormatPr defaultRowHeight="12" x14ac:dyDescent="0.2"/>
  <cols>
    <col min="1" max="1" width="2.7109375" style="564" customWidth="1"/>
    <col min="2" max="2" width="60.7109375" style="564" customWidth="1"/>
    <col min="3" max="3" width="16.7109375" style="564" customWidth="1"/>
    <col min="4" max="7" width="15.7109375" style="564" customWidth="1"/>
    <col min="8" max="8" width="16.7109375" style="564" hidden="1" customWidth="1"/>
    <col min="9" max="28" width="2.7109375" style="564" hidden="1" customWidth="1"/>
    <col min="29" max="44" width="13.7109375" style="564" customWidth="1"/>
    <col min="45" max="45" width="14.85546875" style="564" bestFit="1" customWidth="1"/>
    <col min="46" max="108" width="13.7109375" style="564" customWidth="1"/>
    <col min="109" max="109" width="2.7109375" style="564" customWidth="1"/>
    <col min="110" max="16384" width="9.140625" style="564"/>
  </cols>
  <sheetData>
    <row r="2" spans="2:108" x14ac:dyDescent="0.2">
      <c r="B2" s="560" t="s">
        <v>7</v>
      </c>
      <c r="C2" s="561"/>
      <c r="D2" s="561"/>
      <c r="E2" s="561"/>
      <c r="F2" s="561"/>
      <c r="G2" s="561"/>
      <c r="H2" s="561"/>
      <c r="I2" s="562"/>
      <c r="J2" s="562"/>
      <c r="K2" s="562"/>
      <c r="L2" s="562"/>
      <c r="M2" s="562"/>
      <c r="N2" s="562"/>
      <c r="O2" s="562"/>
      <c r="P2" s="562"/>
      <c r="Q2" s="562"/>
      <c r="R2" s="562"/>
      <c r="S2" s="562"/>
      <c r="T2" s="562"/>
      <c r="U2" s="562"/>
      <c r="V2" s="562"/>
      <c r="W2" s="562"/>
      <c r="X2" s="562"/>
      <c r="Y2" s="562"/>
      <c r="Z2" s="562"/>
      <c r="AA2" s="562"/>
      <c r="AB2" s="562"/>
      <c r="AC2" s="563">
        <v>2405900</v>
      </c>
      <c r="AD2" s="562"/>
      <c r="AE2" s="562"/>
      <c r="AF2" s="562"/>
      <c r="AG2" s="563">
        <v>3985800</v>
      </c>
      <c r="AH2" s="562"/>
      <c r="AI2" s="562"/>
      <c r="AJ2" s="562"/>
      <c r="AK2" s="563">
        <v>5448000</v>
      </c>
      <c r="AL2" s="562"/>
      <c r="AM2" s="562"/>
      <c r="AN2" s="562"/>
      <c r="AO2" s="563">
        <v>18805000</v>
      </c>
      <c r="AP2" s="562"/>
      <c r="AQ2" s="562"/>
      <c r="AR2" s="562"/>
      <c r="AS2" s="563">
        <v>20740400</v>
      </c>
      <c r="AT2" s="562"/>
      <c r="AU2" s="562"/>
      <c r="AV2" s="562"/>
      <c r="AW2" s="563">
        <v>0</v>
      </c>
      <c r="AX2" s="562"/>
      <c r="AY2" s="562"/>
      <c r="AZ2" s="562"/>
      <c r="BA2" s="563">
        <v>0</v>
      </c>
      <c r="BB2" s="562"/>
      <c r="BC2" s="562"/>
      <c r="BD2" s="562"/>
      <c r="BE2" s="563">
        <v>0</v>
      </c>
      <c r="BF2" s="562"/>
      <c r="BG2" s="562"/>
      <c r="BH2" s="562"/>
      <c r="BI2" s="563">
        <v>0</v>
      </c>
      <c r="BJ2" s="562"/>
      <c r="BK2" s="562"/>
      <c r="BL2" s="562"/>
      <c r="BM2" s="563">
        <v>0</v>
      </c>
      <c r="BN2" s="562"/>
      <c r="BO2" s="562"/>
      <c r="BP2" s="562"/>
      <c r="BQ2" s="562"/>
      <c r="BR2" s="562"/>
      <c r="BS2" s="562"/>
      <c r="BT2" s="562"/>
      <c r="BU2" s="562"/>
      <c r="BV2" s="562"/>
      <c r="BW2" s="562"/>
      <c r="BX2" s="562"/>
      <c r="BY2" s="562"/>
      <c r="BZ2" s="562"/>
      <c r="CA2" s="562"/>
      <c r="CB2" s="562"/>
      <c r="CC2" s="562"/>
      <c r="CD2" s="562"/>
      <c r="CE2" s="562"/>
      <c r="CF2" s="562"/>
      <c r="CG2" s="562"/>
      <c r="CH2" s="562"/>
      <c r="CI2" s="562"/>
      <c r="CJ2" s="562"/>
      <c r="CK2" s="562"/>
      <c r="CL2" s="562"/>
      <c r="CM2" s="562"/>
      <c r="CN2" s="562"/>
      <c r="CO2" s="562"/>
      <c r="CP2" s="562"/>
      <c r="CQ2" s="562"/>
      <c r="CR2" s="562"/>
      <c r="CS2" s="562"/>
      <c r="CT2" s="562"/>
      <c r="CU2" s="562"/>
      <c r="CV2" s="562"/>
      <c r="CW2" s="562"/>
      <c r="CX2" s="562"/>
      <c r="CY2" s="562"/>
      <c r="CZ2" s="562"/>
      <c r="DA2" s="562"/>
      <c r="DB2" s="562"/>
      <c r="DC2" s="562"/>
      <c r="DD2" s="562"/>
    </row>
    <row r="3" spans="2:108" x14ac:dyDescent="0.2">
      <c r="B3" s="560" t="s">
        <v>8</v>
      </c>
      <c r="C3" s="561"/>
      <c r="D3" s="561"/>
      <c r="E3" s="561"/>
      <c r="F3" s="561"/>
      <c r="G3" s="561"/>
      <c r="H3" s="561"/>
      <c r="I3" s="562"/>
      <c r="J3" s="562"/>
      <c r="K3" s="562"/>
      <c r="L3" s="562"/>
      <c r="M3" s="562"/>
      <c r="N3" s="562"/>
      <c r="O3" s="562"/>
      <c r="P3" s="562"/>
      <c r="Q3" s="562"/>
      <c r="R3" s="562"/>
      <c r="S3" s="562"/>
      <c r="T3" s="562"/>
      <c r="U3" s="562"/>
      <c r="V3" s="562"/>
      <c r="W3" s="562"/>
      <c r="X3" s="562"/>
      <c r="Y3" s="562"/>
      <c r="Z3" s="562"/>
      <c r="AA3" s="562"/>
      <c r="AB3" s="562"/>
      <c r="AC3" s="563">
        <f>AC2-AC4</f>
        <v>575</v>
      </c>
      <c r="AD3" s="649" t="s">
        <v>540</v>
      </c>
      <c r="AE3" s="562"/>
      <c r="AF3" s="562"/>
      <c r="AG3" s="563">
        <f>AG2-AG4</f>
        <v>-7622493.5369999986</v>
      </c>
      <c r="AH3" s="562"/>
      <c r="AI3" s="562"/>
      <c r="AJ3" s="562"/>
      <c r="AK3" s="563">
        <f>AK2-AK4</f>
        <v>-59776328.266499996</v>
      </c>
      <c r="AL3" s="562"/>
      <c r="AM3" s="562"/>
      <c r="AN3" s="562"/>
      <c r="AO3" s="563">
        <f>AO2-AO4</f>
        <v>12432369.11778</v>
      </c>
      <c r="AP3" s="562"/>
      <c r="AQ3" s="562"/>
      <c r="AR3" s="562"/>
      <c r="AS3" s="563">
        <f>AS2-AS4</f>
        <v>2979741.5446868502</v>
      </c>
      <c r="AT3" s="562"/>
      <c r="AU3" s="562"/>
      <c r="AV3" s="562"/>
      <c r="AW3" s="563">
        <f>AW2-AW4</f>
        <v>-19588571.210833829</v>
      </c>
      <c r="AX3" s="562"/>
      <c r="AY3" s="562"/>
      <c r="AZ3" s="562"/>
      <c r="BA3" s="563">
        <f>BA2-BA4</f>
        <v>-34224007.521644212</v>
      </c>
      <c r="BB3" s="562"/>
      <c r="BC3" s="562"/>
      <c r="BD3" s="562"/>
      <c r="BE3" s="563">
        <f>BE2-BE4</f>
        <v>-51262384.883512646</v>
      </c>
      <c r="BF3" s="562"/>
      <c r="BG3" s="562"/>
      <c r="BH3" s="562"/>
      <c r="BI3" s="563">
        <f>BI2-BI4</f>
        <v>-1304773.1838292445</v>
      </c>
      <c r="BJ3" s="562"/>
      <c r="BK3" s="562"/>
      <c r="BL3" s="562"/>
      <c r="BM3" s="563">
        <f>BM2-BM4</f>
        <v>-2764301.600672924</v>
      </c>
      <c r="BN3" s="562"/>
      <c r="BO3" s="562"/>
      <c r="BP3" s="562"/>
      <c r="BQ3" s="562"/>
      <c r="BR3" s="562"/>
      <c r="BS3" s="562"/>
      <c r="BT3" s="562"/>
      <c r="BU3" s="565"/>
      <c r="BV3" s="562"/>
      <c r="BW3" s="562"/>
      <c r="BX3" s="562"/>
      <c r="BY3" s="565"/>
      <c r="BZ3" s="562"/>
      <c r="CA3" s="562"/>
      <c r="CB3" s="562"/>
      <c r="CC3" s="565"/>
      <c r="CD3" s="562"/>
      <c r="CE3" s="562"/>
      <c r="CF3" s="562"/>
      <c r="CG3" s="565"/>
      <c r="CH3" s="562"/>
      <c r="CI3" s="562"/>
      <c r="CJ3" s="562"/>
      <c r="CK3" s="565"/>
      <c r="CL3" s="562"/>
      <c r="CM3" s="562"/>
      <c r="CN3" s="562"/>
      <c r="CO3" s="565"/>
      <c r="CP3" s="562"/>
      <c r="CQ3" s="562"/>
      <c r="CR3" s="562"/>
      <c r="CS3" s="565"/>
      <c r="CT3" s="562"/>
      <c r="CU3" s="562"/>
      <c r="CV3" s="562"/>
      <c r="CW3" s="565"/>
      <c r="CX3" s="562"/>
      <c r="CY3" s="562"/>
      <c r="CZ3" s="562"/>
      <c r="DA3" s="565"/>
      <c r="DB3" s="562"/>
      <c r="DC3" s="562"/>
      <c r="DD3" s="562"/>
    </row>
    <row r="4" spans="2:108" x14ac:dyDescent="0.2">
      <c r="B4" s="560" t="s">
        <v>214</v>
      </c>
      <c r="C4" s="561"/>
      <c r="D4" s="561"/>
      <c r="E4" s="561"/>
      <c r="F4" s="561"/>
      <c r="G4" s="561"/>
      <c r="H4" s="561"/>
      <c r="I4" s="562"/>
      <c r="J4" s="562"/>
      <c r="K4" s="562"/>
      <c r="L4" s="562"/>
      <c r="M4" s="562"/>
      <c r="N4" s="562"/>
      <c r="O4" s="562"/>
      <c r="P4" s="562"/>
      <c r="Q4" s="562"/>
      <c r="R4" s="562"/>
      <c r="S4" s="562"/>
      <c r="T4" s="562"/>
      <c r="U4" s="562"/>
      <c r="V4" s="562"/>
      <c r="W4" s="562"/>
      <c r="X4" s="562"/>
      <c r="Y4" s="562"/>
      <c r="Z4" s="562"/>
      <c r="AA4" s="562"/>
      <c r="AB4" s="562"/>
      <c r="AC4" s="563">
        <f>AC292+AD292+AE292+AF292</f>
        <v>2405325</v>
      </c>
      <c r="AD4" s="562"/>
      <c r="AE4" s="562"/>
      <c r="AF4" s="562"/>
      <c r="AG4" s="563">
        <f>AG294</f>
        <v>11608293.536999999</v>
      </c>
      <c r="AH4" s="562"/>
      <c r="AI4" s="562"/>
      <c r="AJ4" s="562"/>
      <c r="AK4" s="563">
        <f>AK294</f>
        <v>65224328.266499996</v>
      </c>
      <c r="AL4" s="562"/>
      <c r="AM4" s="562"/>
      <c r="AN4" s="562"/>
      <c r="AO4" s="563">
        <f>AO294</f>
        <v>6372630.8822199991</v>
      </c>
      <c r="AP4" s="562"/>
      <c r="AQ4" s="562"/>
      <c r="AR4" s="562"/>
      <c r="AS4" s="563">
        <f>AS294</f>
        <v>17760658.45531315</v>
      </c>
      <c r="AT4" s="562"/>
      <c r="AU4" s="562"/>
      <c r="AV4" s="562"/>
      <c r="AW4" s="563">
        <f>AW294</f>
        <v>19588571.210833829</v>
      </c>
      <c r="AX4" s="562"/>
      <c r="AY4" s="562"/>
      <c r="AZ4" s="562"/>
      <c r="BA4" s="563">
        <f>BA294</f>
        <v>34224007.521644212</v>
      </c>
      <c r="BB4" s="562"/>
      <c r="BC4" s="562"/>
      <c r="BD4" s="562"/>
      <c r="BE4" s="563">
        <f>BE294</f>
        <v>51262384.883512646</v>
      </c>
      <c r="BF4" s="562"/>
      <c r="BG4" s="562"/>
      <c r="BH4" s="562"/>
      <c r="BI4" s="563">
        <f>BI294</f>
        <v>1304773.1838292445</v>
      </c>
      <c r="BJ4" s="562"/>
      <c r="BK4" s="562"/>
      <c r="BL4" s="562"/>
      <c r="BM4" s="563">
        <f>BM294</f>
        <v>2764301.600672924</v>
      </c>
      <c r="BN4" s="562"/>
      <c r="BO4" s="562"/>
      <c r="BP4" s="562"/>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row>
    <row r="5" spans="2:108" ht="12.75" thickBot="1" x14ac:dyDescent="0.25">
      <c r="B5" s="561"/>
      <c r="C5" s="561"/>
      <c r="D5" s="561"/>
      <c r="E5" s="561"/>
      <c r="F5" s="561"/>
      <c r="G5" s="561"/>
      <c r="H5" s="561"/>
    </row>
    <row r="6" spans="2:108" ht="15.75" customHeight="1" thickBot="1" x14ac:dyDescent="0.25">
      <c r="B6" s="681" t="s">
        <v>202</v>
      </c>
      <c r="C6" s="678" t="s">
        <v>225</v>
      </c>
      <c r="D6" s="681" t="s">
        <v>218</v>
      </c>
      <c r="E6" s="684"/>
      <c r="F6" s="684"/>
      <c r="G6" s="685"/>
      <c r="H6" s="678" t="s">
        <v>204</v>
      </c>
      <c r="I6" s="566"/>
      <c r="J6" s="566"/>
      <c r="K6" s="566"/>
      <c r="L6" s="566"/>
      <c r="M6" s="566"/>
      <c r="N6" s="566"/>
      <c r="O6" s="566"/>
      <c r="P6" s="566"/>
      <c r="Q6" s="566"/>
      <c r="R6" s="566"/>
      <c r="S6" s="566"/>
      <c r="T6" s="566"/>
      <c r="U6" s="566"/>
      <c r="V6" s="566"/>
      <c r="W6" s="566"/>
      <c r="X6" s="566"/>
      <c r="Y6" s="566"/>
      <c r="Z6" s="566"/>
      <c r="AA6" s="566"/>
      <c r="AB6" s="566"/>
      <c r="AC6" s="693" t="s">
        <v>290</v>
      </c>
      <c r="AD6" s="694"/>
      <c r="AE6" s="694"/>
      <c r="AF6" s="695"/>
      <c r="AG6" s="693" t="s">
        <v>291</v>
      </c>
      <c r="AH6" s="694"/>
      <c r="AI6" s="694"/>
      <c r="AJ6" s="695"/>
      <c r="AK6" s="693" t="s">
        <v>292</v>
      </c>
      <c r="AL6" s="694"/>
      <c r="AM6" s="694"/>
      <c r="AN6" s="695"/>
      <c r="AO6" s="693" t="s">
        <v>293</v>
      </c>
      <c r="AP6" s="694"/>
      <c r="AQ6" s="694"/>
      <c r="AR6" s="695"/>
      <c r="AS6" s="693" t="s">
        <v>294</v>
      </c>
      <c r="AT6" s="694"/>
      <c r="AU6" s="694"/>
      <c r="AV6" s="695"/>
      <c r="AW6" s="693" t="s">
        <v>295</v>
      </c>
      <c r="AX6" s="694"/>
      <c r="AY6" s="694"/>
      <c r="AZ6" s="695"/>
      <c r="BA6" s="693" t="s">
        <v>296</v>
      </c>
      <c r="BB6" s="694"/>
      <c r="BC6" s="694"/>
      <c r="BD6" s="695"/>
      <c r="BE6" s="693" t="s">
        <v>297</v>
      </c>
      <c r="BF6" s="694"/>
      <c r="BG6" s="694"/>
      <c r="BH6" s="695"/>
      <c r="BI6" s="693" t="s">
        <v>298</v>
      </c>
      <c r="BJ6" s="694"/>
      <c r="BK6" s="694"/>
      <c r="BL6" s="695"/>
      <c r="BM6" s="693" t="s">
        <v>299</v>
      </c>
      <c r="BN6" s="694"/>
      <c r="BO6" s="694"/>
      <c r="BP6" s="695"/>
      <c r="BQ6" s="693" t="s">
        <v>300</v>
      </c>
      <c r="BR6" s="694"/>
      <c r="BS6" s="694"/>
      <c r="BT6" s="695"/>
      <c r="BU6" s="693" t="s">
        <v>301</v>
      </c>
      <c r="BV6" s="694"/>
      <c r="BW6" s="694"/>
      <c r="BX6" s="695"/>
      <c r="BY6" s="693" t="s">
        <v>302</v>
      </c>
      <c r="BZ6" s="694"/>
      <c r="CA6" s="694"/>
      <c r="CB6" s="695"/>
      <c r="CC6" s="693" t="s">
        <v>303</v>
      </c>
      <c r="CD6" s="694"/>
      <c r="CE6" s="694"/>
      <c r="CF6" s="695"/>
      <c r="CG6" s="693" t="s">
        <v>304</v>
      </c>
      <c r="CH6" s="694"/>
      <c r="CI6" s="694"/>
      <c r="CJ6" s="695"/>
      <c r="CK6" s="693" t="s">
        <v>305</v>
      </c>
      <c r="CL6" s="694"/>
      <c r="CM6" s="694"/>
      <c r="CN6" s="695"/>
      <c r="CO6" s="693" t="s">
        <v>306</v>
      </c>
      <c r="CP6" s="694"/>
      <c r="CQ6" s="694"/>
      <c r="CR6" s="695"/>
      <c r="CS6" s="693" t="s">
        <v>307</v>
      </c>
      <c r="CT6" s="694"/>
      <c r="CU6" s="694"/>
      <c r="CV6" s="695"/>
      <c r="CW6" s="693" t="s">
        <v>308</v>
      </c>
      <c r="CX6" s="694"/>
      <c r="CY6" s="694"/>
      <c r="CZ6" s="695"/>
      <c r="DA6" s="693" t="s">
        <v>309</v>
      </c>
      <c r="DB6" s="694"/>
      <c r="DC6" s="694"/>
      <c r="DD6" s="695"/>
    </row>
    <row r="7" spans="2:108" ht="15.75" customHeight="1" thickBot="1" x14ac:dyDescent="0.25">
      <c r="B7" s="682"/>
      <c r="C7" s="679"/>
      <c r="D7" s="683"/>
      <c r="E7" s="686"/>
      <c r="F7" s="686"/>
      <c r="G7" s="687"/>
      <c r="H7" s="679"/>
      <c r="I7" s="567"/>
      <c r="J7" s="567"/>
      <c r="K7" s="567"/>
      <c r="L7" s="567"/>
      <c r="M7" s="567"/>
      <c r="N7" s="567"/>
      <c r="O7" s="567"/>
      <c r="P7" s="567"/>
      <c r="Q7" s="567"/>
      <c r="R7" s="567"/>
      <c r="S7" s="567"/>
      <c r="T7" s="567"/>
      <c r="U7" s="567"/>
      <c r="V7" s="567"/>
      <c r="W7" s="567"/>
      <c r="X7" s="567"/>
      <c r="Y7" s="567"/>
      <c r="Z7" s="567"/>
      <c r="AA7" s="567"/>
      <c r="AB7" s="567"/>
      <c r="AC7" s="691">
        <v>1</v>
      </c>
      <c r="AD7" s="692"/>
      <c r="AE7" s="692"/>
      <c r="AF7" s="692"/>
      <c r="AG7" s="681">
        <f>AC7+1</f>
        <v>2</v>
      </c>
      <c r="AH7" s="684"/>
      <c r="AI7" s="684"/>
      <c r="AJ7" s="684"/>
      <c r="AK7" s="688">
        <f>AG7+1</f>
        <v>3</v>
      </c>
      <c r="AL7" s="689"/>
      <c r="AM7" s="689"/>
      <c r="AN7" s="689"/>
      <c r="AO7" s="681">
        <f>AK7+1</f>
        <v>4</v>
      </c>
      <c r="AP7" s="684"/>
      <c r="AQ7" s="684"/>
      <c r="AR7" s="685"/>
      <c r="AS7" s="688">
        <f>AO7+1</f>
        <v>5</v>
      </c>
      <c r="AT7" s="689"/>
      <c r="AU7" s="689"/>
      <c r="AV7" s="689"/>
      <c r="AW7" s="681">
        <f>AS7+1</f>
        <v>6</v>
      </c>
      <c r="AX7" s="684"/>
      <c r="AY7" s="684"/>
      <c r="AZ7" s="685"/>
      <c r="BA7" s="688">
        <f>AW7+1</f>
        <v>7</v>
      </c>
      <c r="BB7" s="689"/>
      <c r="BC7" s="689"/>
      <c r="BD7" s="690"/>
      <c r="BE7" s="681">
        <f>BA7+1</f>
        <v>8</v>
      </c>
      <c r="BF7" s="684"/>
      <c r="BG7" s="684"/>
      <c r="BH7" s="684"/>
      <c r="BI7" s="688">
        <f>BE7+1</f>
        <v>9</v>
      </c>
      <c r="BJ7" s="689"/>
      <c r="BK7" s="689"/>
      <c r="BL7" s="690"/>
      <c r="BM7" s="681">
        <f>BI7+1</f>
        <v>10</v>
      </c>
      <c r="BN7" s="684"/>
      <c r="BO7" s="684"/>
      <c r="BP7" s="685"/>
      <c r="BQ7" s="696">
        <f>BM7+1</f>
        <v>11</v>
      </c>
      <c r="BR7" s="697"/>
      <c r="BS7" s="697"/>
      <c r="BT7" s="698"/>
      <c r="BU7" s="693">
        <f>BQ7+1</f>
        <v>12</v>
      </c>
      <c r="BV7" s="694"/>
      <c r="BW7" s="694"/>
      <c r="BX7" s="695"/>
      <c r="BY7" s="699">
        <f>BU7+1</f>
        <v>13</v>
      </c>
      <c r="BZ7" s="700"/>
      <c r="CA7" s="700"/>
      <c r="CB7" s="701"/>
      <c r="CC7" s="681">
        <f>BY7+1</f>
        <v>14</v>
      </c>
      <c r="CD7" s="684"/>
      <c r="CE7" s="684"/>
      <c r="CF7" s="685"/>
      <c r="CG7" s="688">
        <f>CC7+1</f>
        <v>15</v>
      </c>
      <c r="CH7" s="689"/>
      <c r="CI7" s="689"/>
      <c r="CJ7" s="690"/>
      <c r="CK7" s="681">
        <f>CG7+1</f>
        <v>16</v>
      </c>
      <c r="CL7" s="684"/>
      <c r="CM7" s="684"/>
      <c r="CN7" s="685"/>
      <c r="CO7" s="688">
        <f>CK7+1</f>
        <v>17</v>
      </c>
      <c r="CP7" s="689"/>
      <c r="CQ7" s="689"/>
      <c r="CR7" s="690"/>
      <c r="CS7" s="681">
        <f>CO7+1</f>
        <v>18</v>
      </c>
      <c r="CT7" s="684"/>
      <c r="CU7" s="684"/>
      <c r="CV7" s="685"/>
      <c r="CW7" s="688">
        <f>CS7+1</f>
        <v>19</v>
      </c>
      <c r="CX7" s="689"/>
      <c r="CY7" s="689"/>
      <c r="CZ7" s="690"/>
      <c r="DA7" s="681">
        <f>CW7+1</f>
        <v>20</v>
      </c>
      <c r="DB7" s="684"/>
      <c r="DC7" s="684"/>
      <c r="DD7" s="685"/>
    </row>
    <row r="8" spans="2:108" ht="36.75" thickBot="1" x14ac:dyDescent="0.25">
      <c r="B8" s="683"/>
      <c r="C8" s="680"/>
      <c r="D8" s="568" t="s">
        <v>276</v>
      </c>
      <c r="E8" s="569" t="s">
        <v>281</v>
      </c>
      <c r="F8" s="569" t="s">
        <v>63</v>
      </c>
      <c r="G8" s="570" t="s">
        <v>53</v>
      </c>
      <c r="H8" s="680"/>
      <c r="I8" s="571">
        <v>1</v>
      </c>
      <c r="J8" s="571">
        <f>I8+1</f>
        <v>2</v>
      </c>
      <c r="K8" s="571">
        <f t="shared" ref="K8:AB8" si="0">J8+1</f>
        <v>3</v>
      </c>
      <c r="L8" s="571">
        <f t="shared" si="0"/>
        <v>4</v>
      </c>
      <c r="M8" s="571">
        <f t="shared" si="0"/>
        <v>5</v>
      </c>
      <c r="N8" s="571">
        <f t="shared" si="0"/>
        <v>6</v>
      </c>
      <c r="O8" s="571">
        <f t="shared" si="0"/>
        <v>7</v>
      </c>
      <c r="P8" s="571">
        <f t="shared" si="0"/>
        <v>8</v>
      </c>
      <c r="Q8" s="571">
        <f t="shared" si="0"/>
        <v>9</v>
      </c>
      <c r="R8" s="571">
        <f t="shared" si="0"/>
        <v>10</v>
      </c>
      <c r="S8" s="571">
        <f t="shared" si="0"/>
        <v>11</v>
      </c>
      <c r="T8" s="571">
        <f t="shared" si="0"/>
        <v>12</v>
      </c>
      <c r="U8" s="571">
        <f t="shared" si="0"/>
        <v>13</v>
      </c>
      <c r="V8" s="571">
        <f t="shared" si="0"/>
        <v>14</v>
      </c>
      <c r="W8" s="571">
        <f t="shared" si="0"/>
        <v>15</v>
      </c>
      <c r="X8" s="571">
        <f t="shared" si="0"/>
        <v>16</v>
      </c>
      <c r="Y8" s="571">
        <f t="shared" si="0"/>
        <v>17</v>
      </c>
      <c r="Z8" s="571">
        <f t="shared" si="0"/>
        <v>18</v>
      </c>
      <c r="AA8" s="571">
        <f t="shared" si="0"/>
        <v>19</v>
      </c>
      <c r="AB8" s="571">
        <f t="shared" si="0"/>
        <v>20</v>
      </c>
      <c r="AC8" s="572" t="s">
        <v>277</v>
      </c>
      <c r="AD8" s="573" t="s">
        <v>54</v>
      </c>
      <c r="AE8" s="573" t="s">
        <v>63</v>
      </c>
      <c r="AF8" s="574" t="s">
        <v>53</v>
      </c>
      <c r="AG8" s="568" t="s">
        <v>277</v>
      </c>
      <c r="AH8" s="569" t="s">
        <v>54</v>
      </c>
      <c r="AI8" s="569" t="s">
        <v>63</v>
      </c>
      <c r="AJ8" s="575" t="s">
        <v>53</v>
      </c>
      <c r="AK8" s="572" t="s">
        <v>277</v>
      </c>
      <c r="AL8" s="573" t="s">
        <v>54</v>
      </c>
      <c r="AM8" s="573" t="s">
        <v>63</v>
      </c>
      <c r="AN8" s="574" t="s">
        <v>53</v>
      </c>
      <c r="AO8" s="568" t="s">
        <v>277</v>
      </c>
      <c r="AP8" s="569" t="s">
        <v>54</v>
      </c>
      <c r="AQ8" s="569" t="s">
        <v>63</v>
      </c>
      <c r="AR8" s="570" t="s">
        <v>53</v>
      </c>
      <c r="AS8" s="572" t="s">
        <v>277</v>
      </c>
      <c r="AT8" s="573" t="s">
        <v>54</v>
      </c>
      <c r="AU8" s="573" t="s">
        <v>63</v>
      </c>
      <c r="AV8" s="574" t="s">
        <v>53</v>
      </c>
      <c r="AW8" s="568" t="s">
        <v>277</v>
      </c>
      <c r="AX8" s="569" t="s">
        <v>54</v>
      </c>
      <c r="AY8" s="569" t="s">
        <v>63</v>
      </c>
      <c r="AZ8" s="570" t="s">
        <v>53</v>
      </c>
      <c r="BA8" s="572" t="s">
        <v>277</v>
      </c>
      <c r="BB8" s="573" t="s">
        <v>54</v>
      </c>
      <c r="BC8" s="573" t="s">
        <v>63</v>
      </c>
      <c r="BD8" s="576" t="s">
        <v>53</v>
      </c>
      <c r="BE8" s="568" t="s">
        <v>277</v>
      </c>
      <c r="BF8" s="569" t="s">
        <v>54</v>
      </c>
      <c r="BG8" s="569" t="s">
        <v>63</v>
      </c>
      <c r="BH8" s="575" t="s">
        <v>53</v>
      </c>
      <c r="BI8" s="572" t="s">
        <v>277</v>
      </c>
      <c r="BJ8" s="573" t="s">
        <v>54</v>
      </c>
      <c r="BK8" s="573" t="s">
        <v>63</v>
      </c>
      <c r="BL8" s="576" t="s">
        <v>53</v>
      </c>
      <c r="BM8" s="568" t="s">
        <v>277</v>
      </c>
      <c r="BN8" s="569" t="s">
        <v>54</v>
      </c>
      <c r="BO8" s="569" t="s">
        <v>63</v>
      </c>
      <c r="BP8" s="570" t="s">
        <v>53</v>
      </c>
      <c r="BQ8" s="572" t="s">
        <v>277</v>
      </c>
      <c r="BR8" s="573" t="s">
        <v>54</v>
      </c>
      <c r="BS8" s="573" t="s">
        <v>63</v>
      </c>
      <c r="BT8" s="576" t="s">
        <v>53</v>
      </c>
      <c r="BU8" s="568" t="s">
        <v>277</v>
      </c>
      <c r="BV8" s="569" t="s">
        <v>54</v>
      </c>
      <c r="BW8" s="569" t="s">
        <v>63</v>
      </c>
      <c r="BX8" s="570" t="s">
        <v>53</v>
      </c>
      <c r="BY8" s="572" t="s">
        <v>277</v>
      </c>
      <c r="BZ8" s="573" t="s">
        <v>54</v>
      </c>
      <c r="CA8" s="573" t="s">
        <v>63</v>
      </c>
      <c r="CB8" s="576" t="s">
        <v>53</v>
      </c>
      <c r="CC8" s="568" t="s">
        <v>277</v>
      </c>
      <c r="CD8" s="569" t="s">
        <v>54</v>
      </c>
      <c r="CE8" s="569" t="s">
        <v>63</v>
      </c>
      <c r="CF8" s="570" t="s">
        <v>53</v>
      </c>
      <c r="CG8" s="572" t="s">
        <v>277</v>
      </c>
      <c r="CH8" s="573" t="s">
        <v>54</v>
      </c>
      <c r="CI8" s="573" t="s">
        <v>63</v>
      </c>
      <c r="CJ8" s="576" t="s">
        <v>53</v>
      </c>
      <c r="CK8" s="568" t="s">
        <v>277</v>
      </c>
      <c r="CL8" s="569" t="s">
        <v>54</v>
      </c>
      <c r="CM8" s="569" t="s">
        <v>63</v>
      </c>
      <c r="CN8" s="570" t="s">
        <v>53</v>
      </c>
      <c r="CO8" s="572" t="s">
        <v>277</v>
      </c>
      <c r="CP8" s="573" t="s">
        <v>54</v>
      </c>
      <c r="CQ8" s="573" t="s">
        <v>63</v>
      </c>
      <c r="CR8" s="576" t="s">
        <v>53</v>
      </c>
      <c r="CS8" s="568" t="s">
        <v>277</v>
      </c>
      <c r="CT8" s="569" t="s">
        <v>54</v>
      </c>
      <c r="CU8" s="569" t="s">
        <v>63</v>
      </c>
      <c r="CV8" s="570" t="s">
        <v>53</v>
      </c>
      <c r="CW8" s="572" t="s">
        <v>277</v>
      </c>
      <c r="CX8" s="573" t="s">
        <v>54</v>
      </c>
      <c r="CY8" s="573" t="s">
        <v>63</v>
      </c>
      <c r="CZ8" s="576" t="s">
        <v>53</v>
      </c>
      <c r="DA8" s="568" t="s">
        <v>277</v>
      </c>
      <c r="DB8" s="569" t="s">
        <v>54</v>
      </c>
      <c r="DC8" s="569" t="s">
        <v>63</v>
      </c>
      <c r="DD8" s="570" t="s">
        <v>53</v>
      </c>
    </row>
    <row r="9" spans="2:108" ht="12.75" thickBot="1" x14ac:dyDescent="0.25">
      <c r="B9" s="577"/>
      <c r="C9" s="578"/>
      <c r="D9" s="579"/>
      <c r="E9" s="580"/>
      <c r="F9" s="580"/>
      <c r="G9" s="580"/>
      <c r="H9" s="579"/>
      <c r="I9" s="581"/>
      <c r="J9" s="581"/>
      <c r="K9" s="581"/>
      <c r="L9" s="581"/>
      <c r="M9" s="581"/>
      <c r="N9" s="581"/>
      <c r="O9" s="581"/>
      <c r="P9" s="581"/>
      <c r="Q9" s="581"/>
      <c r="R9" s="581"/>
      <c r="S9" s="581"/>
      <c r="T9" s="581"/>
      <c r="U9" s="581"/>
      <c r="V9" s="581"/>
      <c r="W9" s="581"/>
      <c r="X9" s="581"/>
      <c r="Y9" s="581"/>
      <c r="Z9" s="581"/>
      <c r="AA9" s="581"/>
      <c r="AB9" s="582"/>
      <c r="AC9" s="583"/>
      <c r="AD9" s="584"/>
      <c r="AE9" s="584"/>
      <c r="AF9" s="585"/>
      <c r="AG9" s="586"/>
      <c r="AH9" s="587"/>
      <c r="AI9" s="587"/>
      <c r="AJ9" s="588"/>
      <c r="AK9" s="583"/>
      <c r="AL9" s="584"/>
      <c r="AM9" s="584"/>
      <c r="AN9" s="585"/>
      <c r="AO9" s="586"/>
      <c r="AP9" s="587"/>
      <c r="AQ9" s="587"/>
      <c r="AR9" s="589"/>
      <c r="AS9" s="583"/>
      <c r="AT9" s="584"/>
      <c r="AU9" s="584"/>
      <c r="AV9" s="585"/>
      <c r="AW9" s="586"/>
      <c r="AX9" s="587"/>
      <c r="AY9" s="587"/>
      <c r="AZ9" s="589"/>
      <c r="BA9" s="583"/>
      <c r="BB9" s="584"/>
      <c r="BC9" s="584"/>
      <c r="BD9" s="590"/>
      <c r="BE9" s="586"/>
      <c r="BF9" s="587"/>
      <c r="BG9" s="587"/>
      <c r="BH9" s="588"/>
      <c r="BI9" s="583"/>
      <c r="BJ9" s="584"/>
      <c r="BK9" s="584"/>
      <c r="BL9" s="590"/>
      <c r="BM9" s="586"/>
      <c r="BN9" s="587"/>
      <c r="BO9" s="587"/>
      <c r="BP9" s="589"/>
      <c r="BQ9" s="591"/>
      <c r="BR9" s="592"/>
      <c r="BS9" s="592"/>
      <c r="BT9" s="593"/>
      <c r="BU9" s="594"/>
      <c r="BV9" s="581"/>
      <c r="BW9" s="581"/>
      <c r="BX9" s="595"/>
      <c r="BY9" s="591"/>
      <c r="BZ9" s="592"/>
      <c r="CA9" s="592"/>
      <c r="CB9" s="593"/>
      <c r="CC9" s="594"/>
      <c r="CD9" s="581"/>
      <c r="CE9" s="581"/>
      <c r="CF9" s="595"/>
      <c r="CG9" s="591"/>
      <c r="CH9" s="592"/>
      <c r="CI9" s="592"/>
      <c r="CJ9" s="593"/>
      <c r="CK9" s="594"/>
      <c r="CL9" s="581"/>
      <c r="CM9" s="581"/>
      <c r="CN9" s="595"/>
      <c r="CO9" s="591"/>
      <c r="CP9" s="592"/>
      <c r="CQ9" s="592"/>
      <c r="CR9" s="593"/>
      <c r="CS9" s="594"/>
      <c r="CT9" s="581"/>
      <c r="CU9" s="581"/>
      <c r="CV9" s="595"/>
      <c r="CW9" s="591"/>
      <c r="CX9" s="592"/>
      <c r="CY9" s="592"/>
      <c r="CZ9" s="593"/>
      <c r="DA9" s="594"/>
      <c r="DB9" s="581"/>
      <c r="DC9" s="581"/>
      <c r="DD9" s="595"/>
    </row>
    <row r="10" spans="2:108" ht="15.75" customHeight="1" thickBot="1" x14ac:dyDescent="0.25">
      <c r="B10" s="162" t="s">
        <v>224</v>
      </c>
      <c r="C10" s="162"/>
      <c r="D10" s="162"/>
      <c r="E10" s="163"/>
      <c r="F10" s="163"/>
      <c r="G10" s="163"/>
      <c r="H10" s="162"/>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2"/>
      <c r="AH10" s="163"/>
      <c r="AI10" s="163"/>
      <c r="AJ10" s="163"/>
      <c r="AK10" s="162"/>
      <c r="AL10" s="163"/>
      <c r="AM10" s="163"/>
      <c r="AN10" s="163"/>
      <c r="AO10" s="162"/>
      <c r="AP10" s="163"/>
      <c r="AQ10" s="163"/>
      <c r="AR10" s="164"/>
      <c r="AS10" s="162"/>
      <c r="AT10" s="163"/>
      <c r="AU10" s="163"/>
      <c r="AV10" s="163"/>
      <c r="AW10" s="162"/>
      <c r="AX10" s="163"/>
      <c r="AY10" s="163"/>
      <c r="AZ10" s="164"/>
      <c r="BA10" s="162"/>
      <c r="BB10" s="163"/>
      <c r="BC10" s="163"/>
      <c r="BD10" s="164"/>
      <c r="BE10" s="162"/>
      <c r="BF10" s="163"/>
      <c r="BG10" s="163"/>
      <c r="BH10" s="163"/>
      <c r="BI10" s="162"/>
      <c r="BJ10" s="163"/>
      <c r="BK10" s="163"/>
      <c r="BL10" s="164"/>
      <c r="BM10" s="162"/>
      <c r="BN10" s="163"/>
      <c r="BO10" s="163"/>
      <c r="BP10" s="164"/>
      <c r="BQ10" s="162"/>
      <c r="BR10" s="163"/>
      <c r="BS10" s="163"/>
      <c r="BT10" s="164"/>
      <c r="BU10" s="162"/>
      <c r="BV10" s="163"/>
      <c r="BW10" s="163"/>
      <c r="BX10" s="164"/>
      <c r="BY10" s="162"/>
      <c r="BZ10" s="163"/>
      <c r="CA10" s="163"/>
      <c r="CB10" s="164"/>
      <c r="CC10" s="162"/>
      <c r="CD10" s="163"/>
      <c r="CE10" s="163"/>
      <c r="CF10" s="164"/>
      <c r="CG10" s="162"/>
      <c r="CH10" s="163"/>
      <c r="CI10" s="163"/>
      <c r="CJ10" s="164"/>
      <c r="CK10" s="162"/>
      <c r="CL10" s="163"/>
      <c r="CM10" s="163"/>
      <c r="CN10" s="164"/>
      <c r="CO10" s="162"/>
      <c r="CP10" s="163"/>
      <c r="CQ10" s="163"/>
      <c r="CR10" s="164"/>
      <c r="CS10" s="162"/>
      <c r="CT10" s="163"/>
      <c r="CU10" s="163"/>
      <c r="CV10" s="164"/>
      <c r="CW10" s="162"/>
      <c r="CX10" s="163"/>
      <c r="CY10" s="163"/>
      <c r="CZ10" s="164"/>
      <c r="DA10" s="162"/>
      <c r="DB10" s="163"/>
      <c r="DC10" s="163"/>
      <c r="DD10" s="164"/>
    </row>
    <row r="11" spans="2:108" ht="12.75" customHeight="1" x14ac:dyDescent="0.2">
      <c r="B11" s="596" t="s">
        <v>43</v>
      </c>
      <c r="C11" s="597"/>
      <c r="D11" s="598"/>
      <c r="E11" s="599"/>
      <c r="F11" s="599"/>
      <c r="G11" s="599"/>
      <c r="H11" s="598"/>
      <c r="I11" s="600"/>
      <c r="J11" s="600"/>
      <c r="K11" s="600"/>
      <c r="L11" s="600"/>
      <c r="M11" s="600"/>
      <c r="N11" s="600"/>
      <c r="O11" s="600"/>
      <c r="P11" s="600"/>
      <c r="Q11" s="600"/>
      <c r="R11" s="600"/>
      <c r="S11" s="600"/>
      <c r="T11" s="600"/>
      <c r="U11" s="600"/>
      <c r="V11" s="600"/>
      <c r="W11" s="600"/>
      <c r="X11" s="600"/>
      <c r="Y11" s="600"/>
      <c r="Z11" s="600"/>
      <c r="AA11" s="600"/>
      <c r="AB11" s="601"/>
      <c r="AC11" s="591"/>
      <c r="AD11" s="602"/>
      <c r="AE11" s="602"/>
      <c r="AF11" s="603"/>
      <c r="AG11" s="604"/>
      <c r="AH11" s="600"/>
      <c r="AI11" s="600"/>
      <c r="AJ11" s="601"/>
      <c r="AK11" s="605"/>
      <c r="AL11" s="602"/>
      <c r="AM11" s="602"/>
      <c r="AN11" s="603"/>
      <c r="AO11" s="604"/>
      <c r="AP11" s="600"/>
      <c r="AQ11" s="600"/>
      <c r="AR11" s="606"/>
      <c r="AS11" s="605"/>
      <c r="AT11" s="602"/>
      <c r="AU11" s="602"/>
      <c r="AV11" s="603"/>
      <c r="AW11" s="604"/>
      <c r="AX11" s="600"/>
      <c r="AY11" s="600"/>
      <c r="AZ11" s="606"/>
      <c r="BA11" s="605"/>
      <c r="BB11" s="602"/>
      <c r="BC11" s="602"/>
      <c r="BD11" s="607"/>
      <c r="BE11" s="604"/>
      <c r="BF11" s="600"/>
      <c r="BG11" s="600"/>
      <c r="BH11" s="601"/>
      <c r="BI11" s="605"/>
      <c r="BJ11" s="602"/>
      <c r="BK11" s="602"/>
      <c r="BL11" s="607"/>
      <c r="BM11" s="604"/>
      <c r="BN11" s="600"/>
      <c r="BO11" s="600"/>
      <c r="BP11" s="606"/>
      <c r="BQ11" s="605"/>
      <c r="BR11" s="602"/>
      <c r="BS11" s="602"/>
      <c r="BT11" s="607"/>
      <c r="BU11" s="604"/>
      <c r="BV11" s="600"/>
      <c r="BW11" s="600"/>
      <c r="BX11" s="606"/>
      <c r="BY11" s="605"/>
      <c r="BZ11" s="602"/>
      <c r="CA11" s="602"/>
      <c r="CB11" s="607"/>
      <c r="CC11" s="604"/>
      <c r="CD11" s="600"/>
      <c r="CE11" s="600"/>
      <c r="CF11" s="606"/>
      <c r="CG11" s="605"/>
      <c r="CH11" s="602"/>
      <c r="CI11" s="602"/>
      <c r="CJ11" s="607"/>
      <c r="CK11" s="604"/>
      <c r="CL11" s="600"/>
      <c r="CM11" s="600"/>
      <c r="CN11" s="606"/>
      <c r="CO11" s="605"/>
      <c r="CP11" s="602"/>
      <c r="CQ11" s="602"/>
      <c r="CR11" s="607"/>
      <c r="CS11" s="604"/>
      <c r="CT11" s="600"/>
      <c r="CU11" s="600"/>
      <c r="CV11" s="606"/>
      <c r="CW11" s="605"/>
      <c r="CX11" s="602"/>
      <c r="CY11" s="602"/>
      <c r="CZ11" s="607"/>
      <c r="DA11" s="604"/>
      <c r="DB11" s="600"/>
      <c r="DC11" s="600"/>
      <c r="DD11" s="606"/>
    </row>
    <row r="12" spans="2:108" ht="12.75" customHeight="1" x14ac:dyDescent="0.2">
      <c r="B12" s="181" t="str">
        <f>'Collection - Downtown'!B5</f>
        <v xml:space="preserve">Collection System - Downtown Area </v>
      </c>
      <c r="C12" s="189"/>
      <c r="D12" s="194">
        <f>'Collection - Downtown'!F34</f>
        <v>24180400</v>
      </c>
      <c r="E12" s="195">
        <f>'Collection - Downtown'!F63</f>
        <v>261400</v>
      </c>
      <c r="F12" s="195">
        <f>'Collection - Downtown'!F94</f>
        <v>43300</v>
      </c>
      <c r="G12" s="195">
        <f>'Collection - Downtown'!F123</f>
        <v>11900</v>
      </c>
      <c r="H12" s="168"/>
      <c r="I12" s="600"/>
      <c r="J12" s="600"/>
      <c r="K12" s="600"/>
      <c r="L12" s="600"/>
      <c r="M12" s="600"/>
      <c r="N12" s="600"/>
      <c r="O12" s="600"/>
      <c r="P12" s="600"/>
      <c r="Q12" s="600"/>
      <c r="R12" s="600"/>
      <c r="S12" s="600"/>
      <c r="T12" s="600"/>
      <c r="U12" s="600"/>
      <c r="V12" s="600"/>
      <c r="W12" s="600"/>
      <c r="X12" s="600"/>
      <c r="Y12" s="600"/>
      <c r="Z12" s="600"/>
      <c r="AA12" s="600"/>
      <c r="AB12" s="601"/>
      <c r="AC12" s="160"/>
      <c r="AD12" s="150"/>
      <c r="AE12" s="150"/>
      <c r="AF12" s="165"/>
      <c r="AG12" s="168"/>
      <c r="AH12" s="149"/>
      <c r="AI12" s="149"/>
      <c r="AJ12" s="171"/>
      <c r="AK12" s="160"/>
      <c r="AL12" s="150"/>
      <c r="AM12" s="150"/>
      <c r="AN12" s="165"/>
      <c r="AO12" s="168"/>
      <c r="AP12" s="149"/>
      <c r="AQ12" s="149"/>
      <c r="AR12" s="157"/>
      <c r="AS12" s="160"/>
      <c r="AT12" s="150"/>
      <c r="AU12" s="150"/>
      <c r="AV12" s="165"/>
      <c r="AW12" s="168"/>
      <c r="AX12" s="149"/>
      <c r="AY12" s="149"/>
      <c r="AZ12" s="157"/>
      <c r="BA12" s="160"/>
      <c r="BB12" s="150"/>
      <c r="BC12" s="150"/>
      <c r="BD12" s="176"/>
      <c r="BE12" s="168"/>
      <c r="BF12" s="149"/>
      <c r="BG12" s="149"/>
      <c r="BH12" s="171"/>
      <c r="BI12" s="160"/>
      <c r="BJ12" s="150"/>
      <c r="BK12" s="150"/>
      <c r="BL12" s="176"/>
      <c r="BM12" s="168"/>
      <c r="BN12" s="149"/>
      <c r="BO12" s="149"/>
      <c r="BP12" s="157"/>
      <c r="BQ12" s="160"/>
      <c r="BR12" s="150"/>
      <c r="BS12" s="150"/>
      <c r="BT12" s="176"/>
      <c r="BU12" s="168"/>
      <c r="BV12" s="149"/>
      <c r="BW12" s="149"/>
      <c r="BX12" s="157"/>
      <c r="BY12" s="160"/>
      <c r="BZ12" s="150"/>
      <c r="CA12" s="150"/>
      <c r="CB12" s="176"/>
      <c r="CC12" s="168"/>
      <c r="CD12" s="149"/>
      <c r="CE12" s="149"/>
      <c r="CF12" s="157"/>
      <c r="CG12" s="160"/>
      <c r="CH12" s="150"/>
      <c r="CI12" s="150"/>
      <c r="CJ12" s="176"/>
      <c r="CK12" s="168"/>
      <c r="CL12" s="149"/>
      <c r="CM12" s="149"/>
      <c r="CN12" s="157"/>
      <c r="CO12" s="160"/>
      <c r="CP12" s="150"/>
      <c r="CQ12" s="150"/>
      <c r="CR12" s="176"/>
      <c r="CS12" s="168"/>
      <c r="CT12" s="149"/>
      <c r="CU12" s="149"/>
      <c r="CV12" s="157"/>
      <c r="CW12" s="160"/>
      <c r="CX12" s="150"/>
      <c r="CY12" s="150"/>
      <c r="CZ12" s="176"/>
      <c r="DA12" s="168"/>
      <c r="DB12" s="149"/>
      <c r="DC12" s="149"/>
      <c r="DD12" s="157"/>
    </row>
    <row r="13" spans="2:108" ht="12.75" customHeight="1" x14ac:dyDescent="0.2">
      <c r="B13" s="182" t="s">
        <v>215</v>
      </c>
      <c r="C13" s="189"/>
      <c r="D13" s="168"/>
      <c r="E13" s="149"/>
      <c r="F13" s="149"/>
      <c r="G13" s="149"/>
      <c r="H13" s="168"/>
      <c r="I13" s="608"/>
      <c r="J13" s="608"/>
      <c r="K13" s="608"/>
      <c r="L13" s="608"/>
      <c r="M13" s="608"/>
      <c r="N13" s="608"/>
      <c r="O13" s="608"/>
      <c r="P13" s="608"/>
      <c r="Q13" s="608"/>
      <c r="R13" s="608"/>
      <c r="S13" s="608"/>
      <c r="T13" s="608"/>
      <c r="U13" s="608"/>
      <c r="V13" s="608"/>
      <c r="W13" s="608"/>
      <c r="X13" s="608"/>
      <c r="Y13" s="608"/>
      <c r="Z13" s="608"/>
      <c r="AA13" s="608"/>
      <c r="AB13" s="609"/>
      <c r="AC13" s="160"/>
      <c r="AD13" s="150"/>
      <c r="AE13" s="150"/>
      <c r="AF13" s="165"/>
      <c r="AG13" s="168"/>
      <c r="AH13" s="149"/>
      <c r="AI13" s="149"/>
      <c r="AJ13" s="171"/>
      <c r="AK13" s="160"/>
      <c r="AL13" s="150"/>
      <c r="AM13" s="150"/>
      <c r="AN13" s="165"/>
      <c r="AO13" s="168"/>
      <c r="AP13" s="149"/>
      <c r="AQ13" s="149"/>
      <c r="AR13" s="157"/>
      <c r="AS13" s="160"/>
      <c r="AT13" s="150"/>
      <c r="AU13" s="150"/>
      <c r="AV13" s="165"/>
      <c r="AW13" s="168"/>
      <c r="AX13" s="149"/>
      <c r="AY13" s="149"/>
      <c r="AZ13" s="157"/>
      <c r="BA13" s="160"/>
      <c r="BB13" s="150"/>
      <c r="BC13" s="150"/>
      <c r="BD13" s="176"/>
      <c r="BE13" s="168"/>
      <c r="BF13" s="149"/>
      <c r="BG13" s="149"/>
      <c r="BH13" s="171"/>
      <c r="BI13" s="160"/>
      <c r="BJ13" s="150"/>
      <c r="BK13" s="150"/>
      <c r="BL13" s="176"/>
      <c r="BM13" s="168"/>
      <c r="BN13" s="149"/>
      <c r="BO13" s="149"/>
      <c r="BP13" s="157"/>
      <c r="BQ13" s="160"/>
      <c r="BR13" s="150"/>
      <c r="BS13" s="150"/>
      <c r="BT13" s="176"/>
      <c r="BU13" s="168"/>
      <c r="BV13" s="149"/>
      <c r="BW13" s="149"/>
      <c r="BX13" s="157"/>
      <c r="BY13" s="160"/>
      <c r="BZ13" s="150"/>
      <c r="CA13" s="150"/>
      <c r="CB13" s="176"/>
      <c r="CC13" s="168"/>
      <c r="CD13" s="149"/>
      <c r="CE13" s="149"/>
      <c r="CF13" s="157"/>
      <c r="CG13" s="160"/>
      <c r="CH13" s="150"/>
      <c r="CI13" s="150"/>
      <c r="CJ13" s="176"/>
      <c r="CK13" s="168"/>
      <c r="CL13" s="149"/>
      <c r="CM13" s="149"/>
      <c r="CN13" s="157"/>
      <c r="CO13" s="160"/>
      <c r="CP13" s="150"/>
      <c r="CQ13" s="150"/>
      <c r="CR13" s="176"/>
      <c r="CS13" s="168"/>
      <c r="CT13" s="149"/>
      <c r="CU13" s="149"/>
      <c r="CV13" s="157"/>
      <c r="CW13" s="160"/>
      <c r="CX13" s="150"/>
      <c r="CY13" s="150"/>
      <c r="CZ13" s="176"/>
      <c r="DA13" s="168"/>
      <c r="DB13" s="149"/>
      <c r="DC13" s="149"/>
      <c r="DD13" s="157"/>
    </row>
    <row r="14" spans="2:108" ht="12.75" customHeight="1" x14ac:dyDescent="0.2">
      <c r="B14" s="183" t="s">
        <v>517</v>
      </c>
      <c r="C14" s="556">
        <v>1</v>
      </c>
      <c r="D14" s="557">
        <v>500000</v>
      </c>
      <c r="E14" s="149"/>
      <c r="F14" s="149"/>
      <c r="G14" s="149"/>
      <c r="H14" s="168">
        <f>SUM(I14:AB14)</f>
        <v>492610.83743842371</v>
      </c>
      <c r="I14" s="610">
        <f>-PV(InterestRate,I$8,,(SUM(AC14:AF14)))</f>
        <v>492610.83743842371</v>
      </c>
      <c r="J14" s="610">
        <f>-PV(InterestRate,J$8,,(SUM(AG14:AJ14)))</f>
        <v>0</v>
      </c>
      <c r="K14" s="610">
        <f>-PV(InterestRate,K$8,,(SUM(AK14:AN14)))</f>
        <v>0</v>
      </c>
      <c r="L14" s="610">
        <f>-PV(InterestRate,L$8,,(SUM(AO14:AR14)))</f>
        <v>0</v>
      </c>
      <c r="M14" s="610">
        <f>-PV(InterestRate,M$8,,(SUM(AS14:AV14)))</f>
        <v>0</v>
      </c>
      <c r="N14" s="610">
        <f>-PV(InterestRate,N$8,,(SUM(AW14:AZ14)))</f>
        <v>0</v>
      </c>
      <c r="O14" s="610">
        <f>-PV(InterestRate,O$8,,(SUM(BA14:BD14)))</f>
        <v>0</v>
      </c>
      <c r="P14" s="610">
        <f>-PV(InterestRate,P$8,,(SUM(BE14:BH14)))</f>
        <v>0</v>
      </c>
      <c r="Q14" s="610">
        <f>-PV(InterestRate,Q$8,,(SUM(BI14:BL14)))</f>
        <v>0</v>
      </c>
      <c r="R14" s="610">
        <f>-PV(InterestRate,R$8,,(SUM(BM14:BP14)))</f>
        <v>0</v>
      </c>
      <c r="S14" s="610">
        <f>-PV(InterestRate,S$8,,(SUM(BQ14:BT14)))</f>
        <v>0</v>
      </c>
      <c r="T14" s="610">
        <f>-PV(InterestRate,T$8,,(SUM(BU14:BX14)))</f>
        <v>0</v>
      </c>
      <c r="U14" s="610">
        <f>-PV(InterestRate,U$8,,(SUM(BY14:CB14)))</f>
        <v>0</v>
      </c>
      <c r="V14" s="610">
        <f>-PV(InterestRate,V$8,,(SUM(CC14:CF14)))</f>
        <v>0</v>
      </c>
      <c r="W14" s="610">
        <f>-PV(InterestRate,W$8,,(SUM(CG14:CJ14)))</f>
        <v>0</v>
      </c>
      <c r="X14" s="610">
        <f>-PV(InterestRate,X$8,,(SUM(CK14:CN14)))</f>
        <v>0</v>
      </c>
      <c r="Y14" s="610">
        <f>-PV(InterestRate,Y$8,,(SUM(CO14:CR14)))</f>
        <v>0</v>
      </c>
      <c r="Z14" s="610">
        <f>-PV(InterestRate,Z$8,,(SUM(CS14:CV14)))</f>
        <v>0</v>
      </c>
      <c r="AA14" s="610">
        <f>-PV(InterestRate,AA$8,,(SUM(CW14:CZ14)))</f>
        <v>0</v>
      </c>
      <c r="AB14" s="611">
        <f>-PV(InterestRate,AB$8,,(SUM(DA14:DD14)))</f>
        <v>0</v>
      </c>
      <c r="AC14" s="160">
        <f>IF($C14&gt;0,(IF($C14=$AC$7,$D14,0)),0)</f>
        <v>500000</v>
      </c>
      <c r="AD14" s="150">
        <f>IF($C14&gt;0,(IF($AC$7&gt;=$C14+1,$E14,0)),0)</f>
        <v>0</v>
      </c>
      <c r="AE14" s="150">
        <f>IF($C14&gt;0,(IF($C14=$AC$7,$F14,0)),0)</f>
        <v>0</v>
      </c>
      <c r="AF14" s="165">
        <f>IF($C14&gt;0,(IF($AC$7&gt;=$C14+1,$G14,0)),0)</f>
        <v>0</v>
      </c>
      <c r="AG14" s="168">
        <f>IF($C14&gt;0,(IF($C14=$AG$7,(-FV(InflationRate,$AG$7,,$D14)),0)),0)</f>
        <v>0</v>
      </c>
      <c r="AH14" s="149">
        <f>IF($C14&gt;0,(IF($AG$7&gt;=$C14+1, (-FV(InflationRate,$AG$7,,$E14)), 0)),0)</f>
        <v>0</v>
      </c>
      <c r="AI14" s="149">
        <f>IF($C14&gt;0,(IF($AG$7&gt;=$C14+1, (-FV(InflationRate,$AG$7,,$F14)), 0)),0)</f>
        <v>0</v>
      </c>
      <c r="AJ14" s="171">
        <f>IF($C14&gt;0,(IF($AG$7&gt;=$C14+1, (-FV(InflationRate,$AG$7,,$G14)), 0)),0)</f>
        <v>0</v>
      </c>
      <c r="AK14" s="160">
        <f>IF($C14&gt;0,(IF($C14=$AK$7,(-FV(InflationRate,$AK$7,,$D14)),0)),0)</f>
        <v>0</v>
      </c>
      <c r="AL14" s="150">
        <f>IF($C14&gt;0,(IF($AK$7&gt;=$C14+1, (-FV(InflationRate,$AK$7,,$E14)), 0)),0)</f>
        <v>0</v>
      </c>
      <c r="AM14" s="150">
        <f>IF($C14&gt;0,(IF($AK$7&gt;=$C14+1, (-FV(InflationRate,$AK$7,,$F14)), 0)),0)</f>
        <v>0</v>
      </c>
      <c r="AN14" s="165">
        <f>IF($C14&gt;0,(IF($AK$7&gt;=$C14+1, (-FV(InflationRate,$AK$7,,$G14)), 0)),0)</f>
        <v>0</v>
      </c>
      <c r="AO14" s="168">
        <f>IF($C14&gt;0,(IF($C14=$AO$7,(-FV(InflationRate,$AO$7,,$D14)),0)),0)</f>
        <v>0</v>
      </c>
      <c r="AP14" s="149">
        <f>IF($C14&gt;0,(IF($AO$7&gt;=$C14+1, (-FV(InflationRate,$AO$7,,$E14)), 0)),0)</f>
        <v>0</v>
      </c>
      <c r="AQ14" s="149">
        <f>IF($C14&gt;0,(IF($AO$7&gt;=$C14+1, (-FV(InflationRate,$AO$7,,$F14)), 0)),0)</f>
        <v>0</v>
      </c>
      <c r="AR14" s="157">
        <f>IF($C14&gt;0,(IF($AO$7&gt;=$C14+1, (-FV(InflationRate,$AO$7,,$G14)), 0)),0)</f>
        <v>0</v>
      </c>
      <c r="AS14" s="160">
        <f>IF($C14&gt;0,(IF($C14=$AS$7,(-FV(InflationRate,$AS$7,,$D14)),0)),0)</f>
        <v>0</v>
      </c>
      <c r="AT14" s="150">
        <f>IF($C14&gt;0,(IF($AS$7&gt;=$C14+1, (-FV(InflationRate,$AS$7,,$E14)), 0)),0)</f>
        <v>0</v>
      </c>
      <c r="AU14" s="150">
        <f>IF($C14&gt;0,(IF($AS$7&gt;=$C14+1, (-FV(InflationRate,$AS$7,,$F14)), 0)),0)</f>
        <v>0</v>
      </c>
      <c r="AV14" s="165">
        <f>IF($C14&gt;0,(IF($AS$7&gt;=$C14+1, (-FV(InflationRate,$AS$7,,$G14)), 0)),0)</f>
        <v>0</v>
      </c>
      <c r="AW14" s="168">
        <f>IF($C14&gt;0,(IF($C14=$AW$7,(-FV(InflationRate,$AW$7,,$D14)),0)),0)</f>
        <v>0</v>
      </c>
      <c r="AX14" s="149">
        <f>IF($C14&gt;0,(IF($AW$7&gt;=$C14+1, (-FV(InflationRate,$AW$7,,$E14)), 0)),0)</f>
        <v>0</v>
      </c>
      <c r="AY14" s="149">
        <f>IF($C14&gt;0,(IF($AW$7&gt;=$C14+1, (-FV(InflationRate,$AW$7,,$F14)), 0)),0)</f>
        <v>0</v>
      </c>
      <c r="AZ14" s="157">
        <f>IF($C14&gt;0,(IF($AW$7&gt;=$C14+1, (-FV(InflationRate,$AW$7,,$G14)), 0)),0)</f>
        <v>0</v>
      </c>
      <c r="BA14" s="160">
        <f>IF($C14&gt;0,(IF($C14=$BA$7,(-FV(InflationRate,$BA$7,,$D14)),0)),0)</f>
        <v>0</v>
      </c>
      <c r="BB14" s="150">
        <f>IF($C14&gt;0,(IF($BA$7&gt;=$C14+1, (-FV(InflationRate,$BA$7,,$E14)), 0)),0)</f>
        <v>0</v>
      </c>
      <c r="BC14" s="150">
        <f>IF($C14&gt;0,(IF($BA$7&gt;=$C14+1, (-FV(InflationRate,$BA$7,,$F14)), 0)),0)</f>
        <v>0</v>
      </c>
      <c r="BD14" s="176">
        <f>IF($C14&gt;0,(IF($BA$7&gt;=$C14+1, (-FV(InflationRate,$BA$7,,$G14)), 0)),0)</f>
        <v>0</v>
      </c>
      <c r="BE14" s="168">
        <f>IF($C14&gt;0,(IF($C14=$BE$7,(-FV(InflationRate,$BE$7,,$D14)),0)),0)</f>
        <v>0</v>
      </c>
      <c r="BF14" s="149">
        <f>IF($C14&gt;0,(IF($BE$7&gt;=$C14+1, (-FV(InflationRate,$BE$7,,$E14)), 0)),0)</f>
        <v>0</v>
      </c>
      <c r="BG14" s="149">
        <f>IF($C14&gt;0,(IF($BE$7&gt;=$C14+1, (-FV(InflationRate,$BE$7,,$F14)), 0)),0)</f>
        <v>0</v>
      </c>
      <c r="BH14" s="171">
        <f>IF($C14&gt;0,(IF($BE$7&gt;=$C14+1, (-FV(InflationRate,$BE$7,,$G14)), 0)),0)</f>
        <v>0</v>
      </c>
      <c r="BI14" s="160">
        <f>IF($C14&gt;0,(IF($C14=$BI$7,(-FV(InflationRate,$BI$7,,$D14)),0)),0)</f>
        <v>0</v>
      </c>
      <c r="BJ14" s="150">
        <f>IF($C14&gt;0,(IF($BI$7&gt;=$C14+1, (-FV(InflationRate,$BI$7,,$E14)), 0)),0)</f>
        <v>0</v>
      </c>
      <c r="BK14" s="150">
        <f>IF($C14&gt;0,(IF($BI$7&gt;=$C14+1, (-FV(InflationRate,$BI$7,,$F14)), 0)),0)</f>
        <v>0</v>
      </c>
      <c r="BL14" s="176">
        <f>IF($C14&gt;0,(IF($BI$7&gt;=$C14+1, (-FV(InflationRate,$BI$7,,$G14)), 0)),0)</f>
        <v>0</v>
      </c>
      <c r="BM14" s="168">
        <f>IF($C14&gt;0,(IF($C14=$BM$7,(-FV(InflationRate,$BM$7,,$D14)),0)),0)</f>
        <v>0</v>
      </c>
      <c r="BN14" s="149">
        <f>IF($C14&gt;0,(IF($BM$7&gt;=$C14+1, (-FV(InflationRate,$BM$7,,$E14)), 0)),0)</f>
        <v>0</v>
      </c>
      <c r="BO14" s="149">
        <f>IF($C14&gt;0,(IF($BM$7&gt;=$C14+1, (-FV(InflationRate,$BM$7,,$F14)), 0)),0)</f>
        <v>0</v>
      </c>
      <c r="BP14" s="157">
        <f>IF($C14&gt;0,(IF($BM$7&gt;=$C14+1, (-FV(InflationRate,$BM$7,,$G14)), 0)),0)</f>
        <v>0</v>
      </c>
      <c r="BQ14" s="160">
        <f>IF($C14&gt;0,(IF($C14=$BQ$7,(-FV(InflationRate,$BQ$7,,$D14)),0)),0)</f>
        <v>0</v>
      </c>
      <c r="BR14" s="150">
        <f>IF($C14&gt;0,(IF($BQ$7&gt;=$C14+1, (-FV(InflationRate,$BQ$7,,$E14)), 0)),0)</f>
        <v>0</v>
      </c>
      <c r="BS14" s="150">
        <f>IF($C14&gt;0,(IF($BQ$7&gt;=$C14+1, (-FV(InflationRate,$BQ$7,,$F14)), 0)),0)</f>
        <v>0</v>
      </c>
      <c r="BT14" s="176">
        <f>IF($C14&gt;0,(IF($BQ$7&gt;=$C14+1, (-FV(InflationRate,$BQ$7,,$G14)), 0)),0)</f>
        <v>0</v>
      </c>
      <c r="BU14" s="168">
        <f>IF($C14&gt;0,(IF($C14=$BU$7,(-FV(InflationRate,$BU$7,,$D14)),0)),0)</f>
        <v>0</v>
      </c>
      <c r="BV14" s="149">
        <f>IF($C14&gt;0,(IF($BU$7&gt;=$C14+1, (-FV(InflationRate,$BU$7,,$E14)), 0)),0)</f>
        <v>0</v>
      </c>
      <c r="BW14" s="149">
        <f>IF($C14&gt;0,(IF($BU$7&gt;=$C14+1, (-FV(InflationRate,$BU$7,,$F14)), 0)),0)</f>
        <v>0</v>
      </c>
      <c r="BX14" s="157">
        <f>IF($C14&gt;0,(IF($BU$7&gt;=$C14+1, (-FV(InflationRate,$BU$7,,$G14)), 0)),0)</f>
        <v>0</v>
      </c>
      <c r="BY14" s="160">
        <f>IF($C14&gt;0,(IF($C14=$BY$7,(-FV(InflationRate,$BY$7,,$D14)),0)),0)</f>
        <v>0</v>
      </c>
      <c r="BZ14" s="150">
        <f>IF($C14&gt;0,(IF($BY$7&gt;=$C14+1, (-FV(InflationRate,$BY$7,,$E14)), 0)),0)</f>
        <v>0</v>
      </c>
      <c r="CA14" s="150">
        <f>IF($C14&gt;0,(IF($BY$7&gt;=$C14+1, (-FV(InflationRate,$BY$7,,$F14)), 0)),0)</f>
        <v>0</v>
      </c>
      <c r="CB14" s="176">
        <f>IF($C14&gt;0,(IF($BY$7&gt;=$C14+1, (-FV(InflationRate,$BY$7,,$G14)), 0)),0)</f>
        <v>0</v>
      </c>
      <c r="CC14" s="168">
        <f>IF($C14&gt;0,(IF($C14=$CC$7,(-FV(InflationRate,$CC$7,,$D14)),0)),0)</f>
        <v>0</v>
      </c>
      <c r="CD14" s="149">
        <f>IF($C14&gt;0,(IF($CC$7&gt;=$C14+1, (-FV(InflationRate,$CC$7,,$E14)), 0)),0)</f>
        <v>0</v>
      </c>
      <c r="CE14" s="149">
        <f>IF($C14&gt;0,(IF($CC$7&gt;=$C14+1, (-FV(InflationRate,$CC$7,,$F14)), 0)),0)</f>
        <v>0</v>
      </c>
      <c r="CF14" s="157">
        <f>IF($C14&gt;0,(IF($CC$7&gt;=$C14+1, (-FV(InflationRate,$CC$7,,$G14)), 0)),0)</f>
        <v>0</v>
      </c>
      <c r="CG14" s="160">
        <f>IF($C14&gt;0,(IF($C14=$CG$7,(-FV(InflationRate,$CG$7,,$D14)),0)),0)</f>
        <v>0</v>
      </c>
      <c r="CH14" s="150">
        <f>IF($C14&gt;0,(IF($CG$7&gt;=$C14+1, (-FV(InflationRate,$CG$7,,$E14)), 0)),0)</f>
        <v>0</v>
      </c>
      <c r="CI14" s="150">
        <f>IF($C14&gt;0,(IF($CG$7&gt;=$C14+1, (-FV(InflationRate,$CG$7,,$F14)), 0)),0)</f>
        <v>0</v>
      </c>
      <c r="CJ14" s="176">
        <f>IF($C14&gt;0,(IF($CG$7&gt;=$C14+1, (-FV(InflationRate,$CG$7,,$G14)), 0)),0)</f>
        <v>0</v>
      </c>
      <c r="CK14" s="168">
        <f>IF($C14&gt;0,(IF($C14=$CK$7,(-FV(InflationRate,$CK$7,,$D14)),0)),0)</f>
        <v>0</v>
      </c>
      <c r="CL14" s="149">
        <f>IF($C14&gt;0,(IF($CK$7&gt;=$C14+1, (-FV(InflationRate,$CK$7,,$E14)), 0)),0)</f>
        <v>0</v>
      </c>
      <c r="CM14" s="149">
        <f>IF($C14&gt;0,(IF($CK$7&gt;=$C14+1, (-FV(InflationRate,$CK$7,,$F14)), 0)),0)</f>
        <v>0</v>
      </c>
      <c r="CN14" s="157">
        <f>IF($C14&gt;0,(IF($CK$7&gt;=$C14+1, (-FV(InflationRate,$CK$7,,$G14)), 0)),0)</f>
        <v>0</v>
      </c>
      <c r="CO14" s="160">
        <f>IF($C14&gt;0,(IF($C14=$CO$7,(-FV(InflationRate,$CO$7,,$D14)),0)),0)</f>
        <v>0</v>
      </c>
      <c r="CP14" s="150">
        <f>IF($C14&gt;0,(IF($CO$7&gt;=$C14+1, (-FV(InflationRate,$CO$7,,$E14)), 0)),0)</f>
        <v>0</v>
      </c>
      <c r="CQ14" s="150">
        <f>IF($C14&gt;0,(IF($CO$7&gt;=$C14+1, (-FV(InflationRate,$CO$7,,$F14)), 0)),0)</f>
        <v>0</v>
      </c>
      <c r="CR14" s="176">
        <f>IF($C14&gt;0,(IF($CO$7&gt;=$C14+1, (-FV(InflationRate,$CO$7,,$G14)), 0)),0)</f>
        <v>0</v>
      </c>
      <c r="CS14" s="168">
        <f>IF($C14&gt;0,(IF($C14=$CS$7,(-FV(InflationRate,$CS$7,,$D14)),0)),0)</f>
        <v>0</v>
      </c>
      <c r="CT14" s="149">
        <f>IF($C14&gt;0,(IF($CS$7&gt;=$C14+1, (-FV(InflationRate,$CS$7,,$E14)), 0)),0)</f>
        <v>0</v>
      </c>
      <c r="CU14" s="149">
        <f>IF($C14&gt;0,(IF($CS$7&gt;=$C14+1, (-FV(InflationRate,$CS$7,,$F14)), 0)),0)</f>
        <v>0</v>
      </c>
      <c r="CV14" s="157">
        <f>IF($C14&gt;0,(IF($CS$7&gt;=$C14+1, (-FV(InflationRate,$CS$7,,$G14)), 0)),0)</f>
        <v>0</v>
      </c>
      <c r="CW14" s="160">
        <f>IF($C14&gt;0,(IF($C14=$CW$7,(-FV(InflationRate,$CW$7,,$D14)),0)),0)</f>
        <v>0</v>
      </c>
      <c r="CX14" s="150">
        <f>IF($C14&gt;0,(IF($CW$7&gt;=$C14+1, (-FV(InflationRate,$CW$7,,$E14)), 0)),0)</f>
        <v>0</v>
      </c>
      <c r="CY14" s="150">
        <f>IF($C14&gt;0,(IF($CW$7&gt;=$C14+1, (-FV(InflationRate,$CW$7,,$F14)), 0)),0)</f>
        <v>0</v>
      </c>
      <c r="CZ14" s="176">
        <f>IF($C14&gt;0,(IF($CW$7&gt;=$C14+1, (-FV(InflationRate,$CW$7,,$G14)), 0)),0)</f>
        <v>0</v>
      </c>
      <c r="DA14" s="168">
        <f>IF($C14&gt;0,(IF($C14=$DA$7,(-FV(InflationRate,$DA$7,,$D14)),0)),0)</f>
        <v>0</v>
      </c>
      <c r="DB14" s="149">
        <f>IF($C14&gt;0,(IF($DA$7&gt;=$C14+1, (-FV(InflationRate,$DA$7,,$E14)), 0)),0)</f>
        <v>0</v>
      </c>
      <c r="DC14" s="149">
        <f>IF($C14&gt;0,(IF($DA$7&gt;=$C14+1, (-FV(InflationRate,$DA$7,,$F14)), 0)),0)</f>
        <v>0</v>
      </c>
      <c r="DD14" s="157">
        <f>IF($C14&gt;0,(IF($DA$7&gt;=$C14+1, (-FV(InflationRate,$DA$7,,$G14)), 0)),0)</f>
        <v>0</v>
      </c>
    </row>
    <row r="15" spans="2:108" ht="12.75" customHeight="1" x14ac:dyDescent="0.2">
      <c r="B15" s="183" t="s">
        <v>270</v>
      </c>
      <c r="C15" s="556"/>
      <c r="D15" s="557">
        <v>0</v>
      </c>
      <c r="E15" s="558">
        <v>0</v>
      </c>
      <c r="F15" s="149"/>
      <c r="G15" s="558">
        <v>0</v>
      </c>
      <c r="H15" s="168">
        <f>SUM(I15:AB15)</f>
        <v>0</v>
      </c>
      <c r="I15" s="610">
        <f>-PV(InterestRate,I$8,,(SUM(AC15:AF15)))</f>
        <v>0</v>
      </c>
      <c r="J15" s="610">
        <f>-PV(InterestRate,J$8,,(SUM(AG15:AJ15)))</f>
        <v>0</v>
      </c>
      <c r="K15" s="610">
        <f>-PV(InterestRate,K$8,,(SUM(AK15:AN15)))</f>
        <v>0</v>
      </c>
      <c r="L15" s="610">
        <f>-PV(InterestRate,L$8,,(SUM(AO15:AR15)))</f>
        <v>0</v>
      </c>
      <c r="M15" s="610">
        <f>-PV(InterestRate,M$8,,(SUM(AS15:AV15)))</f>
        <v>0</v>
      </c>
      <c r="N15" s="610">
        <f>-PV(InterestRate,N$8,,(SUM(AW15:AZ15)))</f>
        <v>0</v>
      </c>
      <c r="O15" s="610">
        <f>-PV(InterestRate,O$8,,(SUM(BA15:BD15)))</f>
        <v>0</v>
      </c>
      <c r="P15" s="610">
        <f>-PV(InterestRate,P$8,,(SUM(BE15:BH15)))</f>
        <v>0</v>
      </c>
      <c r="Q15" s="610">
        <f>-PV(InterestRate,Q$8,,(SUM(BI15:BL15)))</f>
        <v>0</v>
      </c>
      <c r="R15" s="610">
        <f>-PV(InterestRate,R$8,,(SUM(BM15:BP15)))</f>
        <v>0</v>
      </c>
      <c r="S15" s="610">
        <f>-PV(InterestRate,S$8,,(SUM(BQ15:BT15)))</f>
        <v>0</v>
      </c>
      <c r="T15" s="610">
        <f>-PV(InterestRate,T$8,,(SUM(BU15:BX15)))</f>
        <v>0</v>
      </c>
      <c r="U15" s="610">
        <f>-PV(InterestRate,U$8,,(SUM(BY15:CB15)))</f>
        <v>0</v>
      </c>
      <c r="V15" s="610">
        <f>-PV(InterestRate,V$8,,(SUM(CC15:CF15)))</f>
        <v>0</v>
      </c>
      <c r="W15" s="610">
        <f>-PV(InterestRate,W$8,,(SUM(CG15:CJ15)))</f>
        <v>0</v>
      </c>
      <c r="X15" s="610">
        <f>-PV(InterestRate,X$8,,(SUM(CK15:CN15)))</f>
        <v>0</v>
      </c>
      <c r="Y15" s="610">
        <f>-PV(InterestRate,Y$8,,(SUM(CO15:CR15)))</f>
        <v>0</v>
      </c>
      <c r="Z15" s="610">
        <f>-PV(InterestRate,Z$8,,(SUM(CS15:CV15)))</f>
        <v>0</v>
      </c>
      <c r="AA15" s="610">
        <f>-PV(InterestRate,AA$8,,(SUM(CW15:CZ15)))</f>
        <v>0</v>
      </c>
      <c r="AB15" s="611">
        <f>-PV(InterestRate,AB$8,,(SUM(DA15:DD15)))</f>
        <v>0</v>
      </c>
      <c r="AC15" s="160">
        <f>IF($C15&gt;0,(IF($C15=$AC$7,$D15,0)),0)</f>
        <v>0</v>
      </c>
      <c r="AD15" s="150">
        <f>IF($C15&gt;0,(IF($AC$7&gt;=$C15+1,$E15,0)),0)</f>
        <v>0</v>
      </c>
      <c r="AE15" s="150">
        <f>IF($C15&gt;0,(IF($C15=$AC$7,$F15,0)),0)</f>
        <v>0</v>
      </c>
      <c r="AF15" s="165">
        <f>IF($C15&gt;0,(IF($AC$7&gt;=$C15+1,$G15,0)),0)</f>
        <v>0</v>
      </c>
      <c r="AG15" s="168">
        <f>IF($C15&gt;0,(IF($C15=$AG$7,(-FV(InflationRate,$AG$7,,$D15)),0)),0)</f>
        <v>0</v>
      </c>
      <c r="AH15" s="149">
        <f>IF($C15&gt;0,(IF($AG$7&gt;=$C15+1, (-FV(InflationRate,$AG$7,,$E15)), 0)),0)</f>
        <v>0</v>
      </c>
      <c r="AI15" s="149">
        <f>IF($C15&gt;0,(IF($AG$7&gt;=$C15+1, (-FV(InflationRate,$AG$7,,$F15)), 0)),0)</f>
        <v>0</v>
      </c>
      <c r="AJ15" s="171">
        <f>IF($C15&gt;0,(IF($AG$7&gt;=$C15+1, (-FV(InflationRate,$AG$7,,$G15)), 0)),0)</f>
        <v>0</v>
      </c>
      <c r="AK15" s="160">
        <f>IF($C15&gt;0,(IF($C15=$AK$7,(-FV(InflationRate,$AK$7,,$D15)),0)),0)</f>
        <v>0</v>
      </c>
      <c r="AL15" s="150">
        <f>IF($C15&gt;0,(IF($AK$7&gt;=$C15+1, (-FV(InflationRate,$AK$7,,$E15)), 0)),0)</f>
        <v>0</v>
      </c>
      <c r="AM15" s="150">
        <f>IF($C15&gt;0,(IF($AK$7&gt;=$C15+1, (-FV(InflationRate,$AK$7,,$F15)), 0)),0)</f>
        <v>0</v>
      </c>
      <c r="AN15" s="165">
        <f>IF($C15&gt;0,(IF($AK$7&gt;=$C15+1, (-FV(InflationRate,$AK$7,,$G15)), 0)),0)</f>
        <v>0</v>
      </c>
      <c r="AO15" s="168">
        <f>IF($C15&gt;0,(IF($C15=$AO$7,(-FV(InflationRate,$AO$7,,$D15)),0)),0)</f>
        <v>0</v>
      </c>
      <c r="AP15" s="149">
        <f>IF($C15&gt;0,(IF($AO$7&gt;=$C15+1, (-FV(InflationRate,$AO$7,,$E15)), 0)),0)</f>
        <v>0</v>
      </c>
      <c r="AQ15" s="149">
        <f>IF($C15&gt;0,(IF($AO$7&gt;=$C15+1, (-FV(InflationRate,$AO$7,,$F15)), 0)),0)</f>
        <v>0</v>
      </c>
      <c r="AR15" s="157">
        <f>IF($C15&gt;0,(IF($AO$7&gt;=$C15+1, (-FV(InflationRate,$AO$7,,$G15)), 0)),0)</f>
        <v>0</v>
      </c>
      <c r="AS15" s="160">
        <f>IF($C15&gt;0,(IF($C15=$AS$7,(-FV(InflationRate,$AS$7,,$D15)),0)),0)</f>
        <v>0</v>
      </c>
      <c r="AT15" s="150">
        <f>IF($C15&gt;0,(IF($AS$7&gt;=$C15+1, (-FV(InflationRate,$AS$7,,$E15)), 0)),0)</f>
        <v>0</v>
      </c>
      <c r="AU15" s="150">
        <f>IF($C15&gt;0,(IF($AS$7&gt;=$C15+1, (-FV(InflationRate,$AS$7,,$F15)), 0)),0)</f>
        <v>0</v>
      </c>
      <c r="AV15" s="165">
        <f>IF($C15&gt;0,(IF($AS$7&gt;=$C15+1, (-FV(InflationRate,$AS$7,,$G15)), 0)),0)</f>
        <v>0</v>
      </c>
      <c r="AW15" s="168">
        <f>IF($C15&gt;0,(IF($C15=$AW$7,(-FV(InflationRate,$AW$7,,$D15)),0)),0)</f>
        <v>0</v>
      </c>
      <c r="AX15" s="149">
        <f>IF($C15&gt;0,(IF($AW$7&gt;=$C15+1, (-FV(InflationRate,$AW$7,,$E15)), 0)),0)</f>
        <v>0</v>
      </c>
      <c r="AY15" s="149">
        <f>IF($C15&gt;0,(IF($AW$7&gt;=$C15+1, (-FV(InflationRate,$AW$7,,$F15)), 0)),0)</f>
        <v>0</v>
      </c>
      <c r="AZ15" s="157">
        <f>IF($C15&gt;0,(IF($AW$7&gt;=$C15+1, (-FV(InflationRate,$AW$7,,$G15)), 0)),0)</f>
        <v>0</v>
      </c>
      <c r="BA15" s="160">
        <f>IF($C15&gt;0,(IF($C15=$BA$7,(-FV(InflationRate,$BA$7,,$D15)),0)),0)</f>
        <v>0</v>
      </c>
      <c r="BB15" s="150">
        <f>IF($C15&gt;0,(IF($BA$7&gt;=$C15+1, (-FV(InflationRate,$BA$7,,$E15)), 0)),0)</f>
        <v>0</v>
      </c>
      <c r="BC15" s="150">
        <f>IF($C15&gt;0,(IF($BA$7&gt;=$C15+1, (-FV(InflationRate,$BA$7,,$F15)), 0)),0)</f>
        <v>0</v>
      </c>
      <c r="BD15" s="176">
        <f>IF($C15&gt;0,(IF($BA$7&gt;=$C15+1, (-FV(InflationRate,$BA$7,,$G15)), 0)),0)</f>
        <v>0</v>
      </c>
      <c r="BE15" s="168">
        <f>IF($C15&gt;0,(IF($C15=$BE$7,(-FV(InflationRate,$BE$7,,$D15)),0)),0)</f>
        <v>0</v>
      </c>
      <c r="BF15" s="149">
        <f>IF($C15&gt;0,(IF($BE$7&gt;=$C15+1, (-FV(InflationRate,$BE$7,,$E15)), 0)),0)</f>
        <v>0</v>
      </c>
      <c r="BG15" s="149">
        <f>IF($C15&gt;0,(IF($BE$7&gt;=$C15+1, (-FV(InflationRate,$BE$7,,$F15)), 0)),0)</f>
        <v>0</v>
      </c>
      <c r="BH15" s="171">
        <f>IF($C15&gt;0,(IF($BE$7&gt;=$C15+1, (-FV(InflationRate,$BE$7,,$G15)), 0)),0)</f>
        <v>0</v>
      </c>
      <c r="BI15" s="160">
        <f>IF($C15&gt;0,(IF($C15=$BI$7,(-FV(InflationRate,$BI$7,,$D15)),0)),0)</f>
        <v>0</v>
      </c>
      <c r="BJ15" s="150">
        <f>IF($C15&gt;0,(IF($BI$7&gt;=$C15+1, (-FV(InflationRate,$BI$7,,$E15)), 0)),0)</f>
        <v>0</v>
      </c>
      <c r="BK15" s="150">
        <f>IF($C15&gt;0,(IF($BI$7&gt;=$C15+1, (-FV(InflationRate,$BI$7,,$F15)), 0)),0)</f>
        <v>0</v>
      </c>
      <c r="BL15" s="176">
        <f>IF($C15&gt;0,(IF($BI$7&gt;=$C15+1, (-FV(InflationRate,$BI$7,,$G15)), 0)),0)</f>
        <v>0</v>
      </c>
      <c r="BM15" s="168">
        <f>IF($C15&gt;0,(IF($C15=$BM$7,(-FV(InflationRate,$BM$7,,$D15)),0)),0)</f>
        <v>0</v>
      </c>
      <c r="BN15" s="149">
        <f>IF($C15&gt;0,(IF($BM$7&gt;=$C15+1, (-FV(InflationRate,$BM$7,,$E15)), 0)),0)</f>
        <v>0</v>
      </c>
      <c r="BO15" s="149">
        <f>IF($C15&gt;0,(IF($BM$7&gt;=$C15+1, (-FV(InflationRate,$BM$7,,$F15)), 0)),0)</f>
        <v>0</v>
      </c>
      <c r="BP15" s="157">
        <f>IF($C15&gt;0,(IF($BM$7&gt;=$C15+1, (-FV(InflationRate,$BM$7,,$G15)), 0)),0)</f>
        <v>0</v>
      </c>
      <c r="BQ15" s="160">
        <f>IF($C15&gt;0,(IF($C15=$BQ$7,(-FV(InflationRate,$BQ$7,,$D15)),0)),0)</f>
        <v>0</v>
      </c>
      <c r="BR15" s="150">
        <f>IF($C15&gt;0,(IF($BQ$7&gt;=$C15+1, (-FV(InflationRate,$BQ$7,,$E15)), 0)),0)</f>
        <v>0</v>
      </c>
      <c r="BS15" s="150">
        <f>IF($C15&gt;0,(IF($BQ$7&gt;=$C15+1, (-FV(InflationRate,$BQ$7,,$F15)), 0)),0)</f>
        <v>0</v>
      </c>
      <c r="BT15" s="176">
        <f>IF($C15&gt;0,(IF($BQ$7&gt;=$C15+1, (-FV(InflationRate,$BQ$7,,$G15)), 0)),0)</f>
        <v>0</v>
      </c>
      <c r="BU15" s="168">
        <f>IF($C15&gt;0,(IF($C15=$BU$7,(-FV(InflationRate,$BU$7,,$D15)),0)),0)</f>
        <v>0</v>
      </c>
      <c r="BV15" s="149">
        <f>IF($C15&gt;0,(IF($BU$7&gt;=$C15+1, (-FV(InflationRate,$BU$7,,$E15)), 0)),0)</f>
        <v>0</v>
      </c>
      <c r="BW15" s="149">
        <f>IF($C15&gt;0,(IF($BU$7&gt;=$C15+1, (-FV(InflationRate,$BU$7,,$F15)), 0)),0)</f>
        <v>0</v>
      </c>
      <c r="BX15" s="157">
        <f>IF($C15&gt;0,(IF($BU$7&gt;=$C15+1, (-FV(InflationRate,$BU$7,,$G15)), 0)),0)</f>
        <v>0</v>
      </c>
      <c r="BY15" s="160">
        <f>IF($C15&gt;0,(IF($C15=$BY$7,(-FV(InflationRate,$BY$7,,$D15)),0)),0)</f>
        <v>0</v>
      </c>
      <c r="BZ15" s="150">
        <f>IF($C15&gt;0,(IF($BY$7&gt;=$C15+1, (-FV(InflationRate,$BY$7,,$E15)), 0)),0)</f>
        <v>0</v>
      </c>
      <c r="CA15" s="150">
        <f>IF($C15&gt;0,(IF($BY$7&gt;=$C15+1, (-FV(InflationRate,$BY$7,,$F15)), 0)),0)</f>
        <v>0</v>
      </c>
      <c r="CB15" s="176">
        <f>IF($C15&gt;0,(IF($BY$7&gt;=$C15+1, (-FV(InflationRate,$BY$7,,$G15)), 0)),0)</f>
        <v>0</v>
      </c>
      <c r="CC15" s="168">
        <f>IF($C15&gt;0,(IF($C15=$CC$7,(-FV(InflationRate,$CC$7,,$D15)),0)),0)</f>
        <v>0</v>
      </c>
      <c r="CD15" s="149">
        <f>IF($C15&gt;0,(IF($CC$7&gt;=$C15+1, (-FV(InflationRate,$CC$7,,$E15)), 0)),0)</f>
        <v>0</v>
      </c>
      <c r="CE15" s="149">
        <f>IF($C15&gt;0,(IF($CC$7&gt;=$C15+1, (-FV(InflationRate,$CC$7,,$F15)), 0)),0)</f>
        <v>0</v>
      </c>
      <c r="CF15" s="157">
        <f>IF($C15&gt;0,(IF($CC$7&gt;=$C15+1, (-FV(InflationRate,$CC$7,,$G15)), 0)),0)</f>
        <v>0</v>
      </c>
      <c r="CG15" s="160">
        <f>IF($C15&gt;0,(IF($C15=$CG$7,(-FV(InflationRate,$CG$7,,$D15)),0)),0)</f>
        <v>0</v>
      </c>
      <c r="CH15" s="150">
        <f>IF($C15&gt;0,(IF($CG$7&gt;=$C15+1, (-FV(InflationRate,$CG$7,,$E15)), 0)),0)</f>
        <v>0</v>
      </c>
      <c r="CI15" s="150">
        <f>IF($C15&gt;0,(IF($CG$7&gt;=$C15+1, (-FV(InflationRate,$CG$7,,$F15)), 0)),0)</f>
        <v>0</v>
      </c>
      <c r="CJ15" s="176">
        <f>IF($C15&gt;0,(IF($CG$7&gt;=$C15+1, (-FV(InflationRate,$CG$7,,$G15)), 0)),0)</f>
        <v>0</v>
      </c>
      <c r="CK15" s="168">
        <f>IF($C15&gt;0,(IF($C15=$CK$7,(-FV(InflationRate,$CK$7,,$D15)),0)),0)</f>
        <v>0</v>
      </c>
      <c r="CL15" s="149">
        <f>IF($C15&gt;0,(IF($CK$7&gt;=$C15+1, (-FV(InflationRate,$CK$7,,$E15)), 0)),0)</f>
        <v>0</v>
      </c>
      <c r="CM15" s="149">
        <f>IF($C15&gt;0,(IF($CK$7&gt;=$C15+1, (-FV(InflationRate,$CK$7,,$F15)), 0)),0)</f>
        <v>0</v>
      </c>
      <c r="CN15" s="157">
        <f>IF($C15&gt;0,(IF($CK$7&gt;=$C15+1, (-FV(InflationRate,$CK$7,,$G15)), 0)),0)</f>
        <v>0</v>
      </c>
      <c r="CO15" s="160">
        <f>IF($C15&gt;0,(IF($C15=$CO$7,(-FV(InflationRate,$CO$7,,$D15)),0)),0)</f>
        <v>0</v>
      </c>
      <c r="CP15" s="150">
        <f>IF($C15&gt;0,(IF($CO$7&gt;=$C15+1, (-FV(InflationRate,$CO$7,,$E15)), 0)),0)</f>
        <v>0</v>
      </c>
      <c r="CQ15" s="150">
        <f>IF($C15&gt;0,(IF($CO$7&gt;=$C15+1, (-FV(InflationRate,$CO$7,,$F15)), 0)),0)</f>
        <v>0</v>
      </c>
      <c r="CR15" s="176">
        <f>IF($C15&gt;0,(IF($CO$7&gt;=$C15+1, (-FV(InflationRate,$CO$7,,$G15)), 0)),0)</f>
        <v>0</v>
      </c>
      <c r="CS15" s="168">
        <f>IF($C15&gt;0,(IF($C15=$CS$7,(-FV(InflationRate,$CS$7,,$D15)),0)),0)</f>
        <v>0</v>
      </c>
      <c r="CT15" s="149">
        <f>IF($C15&gt;0,(IF($CS$7&gt;=$C15+1, (-FV(InflationRate,$CS$7,,$E15)), 0)),0)</f>
        <v>0</v>
      </c>
      <c r="CU15" s="149">
        <f>IF($C15&gt;0,(IF($CS$7&gt;=$C15+1, (-FV(InflationRate,$CS$7,,$F15)), 0)),0)</f>
        <v>0</v>
      </c>
      <c r="CV15" s="157">
        <f>IF($C15&gt;0,(IF($CS$7&gt;=$C15+1, (-FV(InflationRate,$CS$7,,$G15)), 0)),0)</f>
        <v>0</v>
      </c>
      <c r="CW15" s="160">
        <f>IF($C15&gt;0,(IF($C15=$CW$7,(-FV(InflationRate,$CW$7,,$D15)),0)),0)</f>
        <v>0</v>
      </c>
      <c r="CX15" s="150">
        <f>IF($C15&gt;0,(IF($CW$7&gt;=$C15+1, (-FV(InflationRate,$CW$7,,$E15)), 0)),0)</f>
        <v>0</v>
      </c>
      <c r="CY15" s="150">
        <f>IF($C15&gt;0,(IF($CW$7&gt;=$C15+1, (-FV(InflationRate,$CW$7,,$F15)), 0)),0)</f>
        <v>0</v>
      </c>
      <c r="CZ15" s="176">
        <f>IF($C15&gt;0,(IF($CW$7&gt;=$C15+1, (-FV(InflationRate,$CW$7,,$G15)), 0)),0)</f>
        <v>0</v>
      </c>
      <c r="DA15" s="168">
        <f>IF($C15&gt;0,(IF($C15=$DA$7,(-FV(InflationRate,$DA$7,,$D15)),0)),0)</f>
        <v>0</v>
      </c>
      <c r="DB15" s="149">
        <f>IF($C15&gt;0,(IF($DA$7&gt;=$C15+1, (-FV(InflationRate,$DA$7,,$E15)), 0)),0)</f>
        <v>0</v>
      </c>
      <c r="DC15" s="149">
        <f>IF($C15&gt;0,(IF($DA$7&gt;=$C15+1, (-FV(InflationRate,$DA$7,,$F15)), 0)),0)</f>
        <v>0</v>
      </c>
      <c r="DD15" s="157">
        <f>IF($C15&gt;0,(IF($DA$7&gt;=$C15+1, (-FV(InflationRate,$DA$7,,$G15)), 0)),0)</f>
        <v>0</v>
      </c>
    </row>
    <row r="16" spans="2:108" ht="12.75" customHeight="1" x14ac:dyDescent="0.2">
      <c r="B16" s="183" t="s">
        <v>203</v>
      </c>
      <c r="C16" s="556"/>
      <c r="D16" s="168"/>
      <c r="E16" s="149"/>
      <c r="F16" s="558">
        <v>0</v>
      </c>
      <c r="G16" s="149"/>
      <c r="H16" s="168">
        <f>SUM(I16:AB16)</f>
        <v>0</v>
      </c>
      <c r="I16" s="610">
        <f>-PV(InterestRate,I$8,,(SUM(AC16:AF16)))</f>
        <v>0</v>
      </c>
      <c r="J16" s="610">
        <f>-PV(InterestRate,J$8,,(SUM(AG16:AJ16)))</f>
        <v>0</v>
      </c>
      <c r="K16" s="610">
        <f>-PV(InterestRate,K$8,,(SUM(AK16:AN16)))</f>
        <v>0</v>
      </c>
      <c r="L16" s="610">
        <f>-PV(InterestRate,L$8,,(SUM(AO16:AR16)))</f>
        <v>0</v>
      </c>
      <c r="M16" s="610">
        <f>-PV(InterestRate,M$8,,(SUM(AS16:AV16)))</f>
        <v>0</v>
      </c>
      <c r="N16" s="610">
        <f>-PV(InterestRate,N$8,,(SUM(AW16:AZ16)))</f>
        <v>0</v>
      </c>
      <c r="O16" s="610">
        <f>-PV(InterestRate,O$8,,(SUM(BA16:BD16)))</f>
        <v>0</v>
      </c>
      <c r="P16" s="610">
        <f>-PV(InterestRate,P$8,,(SUM(BE16:BH16)))</f>
        <v>0</v>
      </c>
      <c r="Q16" s="610">
        <f>-PV(InterestRate,Q$8,,(SUM(BI16:BL16)))</f>
        <v>0</v>
      </c>
      <c r="R16" s="610">
        <f>-PV(InterestRate,R$8,,(SUM(BM16:BP16)))</f>
        <v>0</v>
      </c>
      <c r="S16" s="610">
        <f>-PV(InterestRate,S$8,,(SUM(BQ16:BT16)))</f>
        <v>0</v>
      </c>
      <c r="T16" s="610">
        <f>-PV(InterestRate,T$8,,(SUM(BU16:BX16)))</f>
        <v>0</v>
      </c>
      <c r="U16" s="610">
        <f>-PV(InterestRate,U$8,,(SUM(BY16:CB16)))</f>
        <v>0</v>
      </c>
      <c r="V16" s="610">
        <f>-PV(InterestRate,V$8,,(SUM(CC16:CF16)))</f>
        <v>0</v>
      </c>
      <c r="W16" s="610">
        <f>-PV(InterestRate,W$8,,(SUM(CG16:CJ16)))</f>
        <v>0</v>
      </c>
      <c r="X16" s="610">
        <f>-PV(InterestRate,X$8,,(SUM(CK16:CN16)))</f>
        <v>0</v>
      </c>
      <c r="Y16" s="610">
        <f>-PV(InterestRate,Y$8,,(SUM(CO16:CR16)))</f>
        <v>0</v>
      </c>
      <c r="Z16" s="610">
        <f>-PV(InterestRate,Z$8,,(SUM(CS16:CV16)))</f>
        <v>0</v>
      </c>
      <c r="AA16" s="610">
        <f>-PV(InterestRate,AA$8,,(SUM(CW16:CZ16)))</f>
        <v>0</v>
      </c>
      <c r="AB16" s="611">
        <f>-PV(InterestRate,AB$8,,(SUM(DA16:DD16)))</f>
        <v>0</v>
      </c>
      <c r="AC16" s="160">
        <f>IF($C16&gt;0,(IF($C16=$AC$7,$D16,0)),0)</f>
        <v>0</v>
      </c>
      <c r="AD16" s="150">
        <f>IF($C16&gt;0,(IF($AC$7&gt;=$C16+1,$E16,0)),0)</f>
        <v>0</v>
      </c>
      <c r="AE16" s="150">
        <f>IF($C16&gt;0,(IF($C16=$AC$7,$F16,0)),0)</f>
        <v>0</v>
      </c>
      <c r="AF16" s="165">
        <f>IF($C16&gt;0,(IF($AC$7&gt;=$C16+1,$G16,0)),0)</f>
        <v>0</v>
      </c>
      <c r="AG16" s="168">
        <f>IF($C16&gt;0,(IF($C16=$AG$7,(-FV(InflationRate,$AG$7,,$D16)),0)),0)</f>
        <v>0</v>
      </c>
      <c r="AH16" s="149">
        <f>IF($C16&gt;0,(IF($AG$7&gt;=$C16+1, (-FV(InflationRate,$AG$7,,$E16)), 0)),0)</f>
        <v>0</v>
      </c>
      <c r="AI16" s="149">
        <f>IF($C16&gt;0,(IF($AG$7&gt;=$C16+1, (-FV(InflationRate,$AG$7,,$F16)), 0)),0)</f>
        <v>0</v>
      </c>
      <c r="AJ16" s="171">
        <f>IF($C16&gt;0,(IF($AG$7&gt;=$C16+1, (-FV(InflationRate,$AG$7,,$G16)), 0)),0)</f>
        <v>0</v>
      </c>
      <c r="AK16" s="160">
        <f>IF($C16&gt;0,(IF($C16=$AK$7,(-FV(InflationRate,$AK$7,,$D16)),0)),0)</f>
        <v>0</v>
      </c>
      <c r="AL16" s="150">
        <f>IF($C16&gt;0,(IF($AK$7&gt;=$C16+1, (-FV(InflationRate,$AK$7,,$E16)), 0)),0)</f>
        <v>0</v>
      </c>
      <c r="AM16" s="150">
        <f>IF($C16&gt;0,(IF($AK$7&gt;=$C16+1, (-FV(InflationRate,$AK$7,,$F16)), 0)),0)</f>
        <v>0</v>
      </c>
      <c r="AN16" s="165">
        <f>IF($C16&gt;0,(IF($AK$7&gt;=$C16+1, (-FV(InflationRate,$AK$7,,$G16)), 0)),0)</f>
        <v>0</v>
      </c>
      <c r="AO16" s="168">
        <f>IF($C16&gt;0,(IF($C16=$AO$7,(-FV(InflationRate,$AO$7,,$D16)),0)),0)</f>
        <v>0</v>
      </c>
      <c r="AP16" s="149">
        <f>IF($C16&gt;0,(IF($AO$7&gt;=$C16+1, (-FV(InflationRate,$AO$7,,$E16)), 0)),0)</f>
        <v>0</v>
      </c>
      <c r="AQ16" s="149">
        <f>IF($C16&gt;0,(IF($AO$7&gt;=$C16+1, (-FV(InflationRate,$AO$7,,$F16)), 0)),0)</f>
        <v>0</v>
      </c>
      <c r="AR16" s="157">
        <f>IF($C16&gt;0,(IF($AO$7&gt;=$C16+1, (-FV(InflationRate,$AO$7,,$G16)), 0)),0)</f>
        <v>0</v>
      </c>
      <c r="AS16" s="160">
        <f>IF($C16&gt;0,(IF($C16=$AS$7,(-FV(InflationRate,$AS$7,,$D16)),0)),0)</f>
        <v>0</v>
      </c>
      <c r="AT16" s="150">
        <f>IF($C16&gt;0,(IF($AS$7&gt;=$C16+1, (-FV(InflationRate,$AS$7,,$E16)), 0)),0)</f>
        <v>0</v>
      </c>
      <c r="AU16" s="150">
        <f>IF($C16&gt;0,(IF($AS$7&gt;=$C16+1, (-FV(InflationRate,$AS$7,,$F16)), 0)),0)</f>
        <v>0</v>
      </c>
      <c r="AV16" s="165">
        <f>IF($C16&gt;0,(IF($AS$7&gt;=$C16+1, (-FV(InflationRate,$AS$7,,$G16)), 0)),0)</f>
        <v>0</v>
      </c>
      <c r="AW16" s="168">
        <f>IF($C16&gt;0,(IF($C16=$AW$7,(-FV(InflationRate,$AW$7,,$D16)),0)),0)</f>
        <v>0</v>
      </c>
      <c r="AX16" s="149">
        <f>IF($C16&gt;0,(IF($AW$7&gt;=$C16+1, (-FV(InflationRate,$AW$7,,$E16)), 0)),0)</f>
        <v>0</v>
      </c>
      <c r="AY16" s="149">
        <f>IF($C16&gt;0,(IF($AW$7&gt;=$C16+1, (-FV(InflationRate,$AW$7,,$F16)), 0)),0)</f>
        <v>0</v>
      </c>
      <c r="AZ16" s="157">
        <f>IF($C16&gt;0,(IF($AW$7&gt;=$C16+1, (-FV(InflationRate,$AW$7,,$G16)), 0)),0)</f>
        <v>0</v>
      </c>
      <c r="BA16" s="160">
        <f>IF($C16&gt;0,(IF($C16=$BA$7,(-FV(InflationRate,$BA$7,,$D16)),0)),0)</f>
        <v>0</v>
      </c>
      <c r="BB16" s="150">
        <f>IF($C16&gt;0,(IF($BA$7&gt;=$C16+1, (-FV(InflationRate,$BA$7,,$E16)), 0)),0)</f>
        <v>0</v>
      </c>
      <c r="BC16" s="150">
        <f>IF($C16&gt;0,(IF($BA$7&gt;=$C16+1, (-FV(InflationRate,$BA$7,,$F16)), 0)),0)</f>
        <v>0</v>
      </c>
      <c r="BD16" s="176">
        <f>IF($C16&gt;0,(IF($BA$7&gt;=$C16+1, (-FV(InflationRate,$BA$7,,$G16)), 0)),0)</f>
        <v>0</v>
      </c>
      <c r="BE16" s="168">
        <f>IF($C16&gt;0,(IF($C16=$BE$7,(-FV(InflationRate,$BE$7,,$D16)),0)),0)</f>
        <v>0</v>
      </c>
      <c r="BF16" s="149">
        <f>IF($C16&gt;0,(IF($BE$7&gt;=$C16+1, (-FV(InflationRate,$BE$7,,$E16)), 0)),0)</f>
        <v>0</v>
      </c>
      <c r="BG16" s="149">
        <f>IF($C16&gt;0,(IF($BE$7&gt;=$C16+1, (-FV(InflationRate,$BE$7,,$F16)), 0)),0)</f>
        <v>0</v>
      </c>
      <c r="BH16" s="171">
        <f>IF($C16&gt;0,(IF($BE$7&gt;=$C16+1, (-FV(InflationRate,$BE$7,,$G16)), 0)),0)</f>
        <v>0</v>
      </c>
      <c r="BI16" s="160">
        <f>IF($C16&gt;0,(IF($C16=$BI$7,(-FV(InflationRate,$BI$7,,$D16)),0)),0)</f>
        <v>0</v>
      </c>
      <c r="BJ16" s="150">
        <f>IF($C16&gt;0,(IF($BI$7&gt;=$C16+1, (-FV(InflationRate,$BI$7,,$E16)), 0)),0)</f>
        <v>0</v>
      </c>
      <c r="BK16" s="150">
        <f>IF($C16&gt;0,(IF($BI$7&gt;=$C16+1, (-FV(InflationRate,$BI$7,,$F16)), 0)),0)</f>
        <v>0</v>
      </c>
      <c r="BL16" s="176">
        <f>IF($C16&gt;0,(IF($BI$7&gt;=$C16+1, (-FV(InflationRate,$BI$7,,$G16)), 0)),0)</f>
        <v>0</v>
      </c>
      <c r="BM16" s="168">
        <f>IF($C16&gt;0,(IF($C16=$BM$7,(-FV(InflationRate,$BM$7,,$D16)),0)),0)</f>
        <v>0</v>
      </c>
      <c r="BN16" s="149">
        <f>IF($C16&gt;0,(IF($BM$7&gt;=$C16+1, (-FV(InflationRate,$BM$7,,$E16)), 0)),0)</f>
        <v>0</v>
      </c>
      <c r="BO16" s="149">
        <f>IF($C16&gt;0,(IF($BM$7&gt;=$C16+1, (-FV(InflationRate,$BM$7,,$F16)), 0)),0)</f>
        <v>0</v>
      </c>
      <c r="BP16" s="157">
        <f>IF($C16&gt;0,(IF($BM$7&gt;=$C16+1, (-FV(InflationRate,$BM$7,,$G16)), 0)),0)</f>
        <v>0</v>
      </c>
      <c r="BQ16" s="160">
        <f>IF($C16&gt;0,(IF($C16=$BQ$7,(-FV(InflationRate,$BQ$7,,$D16)),0)),0)</f>
        <v>0</v>
      </c>
      <c r="BR16" s="150">
        <f>IF($C16&gt;0,(IF($BQ$7&gt;=$C16+1, (-FV(InflationRate,$BQ$7,,$E16)), 0)),0)</f>
        <v>0</v>
      </c>
      <c r="BS16" s="150">
        <f>IF($C16&gt;0,(IF($BQ$7&gt;=$C16+1, (-FV(InflationRate,$BQ$7,,$F16)), 0)),0)</f>
        <v>0</v>
      </c>
      <c r="BT16" s="176">
        <f>IF($C16&gt;0,(IF($BQ$7&gt;=$C16+1, (-FV(InflationRate,$BQ$7,,$G16)), 0)),0)</f>
        <v>0</v>
      </c>
      <c r="BU16" s="168">
        <f>IF($C16&gt;0,(IF($C16=$BU$7,(-FV(InflationRate,$BU$7,,$D16)),0)),0)</f>
        <v>0</v>
      </c>
      <c r="BV16" s="149">
        <f>IF($C16&gt;0,(IF($BU$7&gt;=$C16+1, (-FV(InflationRate,$BU$7,,$E16)), 0)),0)</f>
        <v>0</v>
      </c>
      <c r="BW16" s="149">
        <f>IF($C16&gt;0,(IF($BU$7&gt;=$C16+1, (-FV(InflationRate,$BU$7,,$F16)), 0)),0)</f>
        <v>0</v>
      </c>
      <c r="BX16" s="157">
        <f>IF($C16&gt;0,(IF($BU$7&gt;=$C16+1, (-FV(InflationRate,$BU$7,,$G16)), 0)),0)</f>
        <v>0</v>
      </c>
      <c r="BY16" s="160">
        <f>IF($C16&gt;0,(IF($C16=$BY$7,(-FV(InflationRate,$BY$7,,$D16)),0)),0)</f>
        <v>0</v>
      </c>
      <c r="BZ16" s="150">
        <f>IF($C16&gt;0,(IF($BY$7&gt;=$C16+1, (-FV(InflationRate,$BY$7,,$E16)), 0)),0)</f>
        <v>0</v>
      </c>
      <c r="CA16" s="150">
        <f>IF($C16&gt;0,(IF($BY$7&gt;=$C16+1, (-FV(InflationRate,$BY$7,,$F16)), 0)),0)</f>
        <v>0</v>
      </c>
      <c r="CB16" s="176">
        <f>IF($C16&gt;0,(IF($BY$7&gt;=$C16+1, (-FV(InflationRate,$BY$7,,$G16)), 0)),0)</f>
        <v>0</v>
      </c>
      <c r="CC16" s="168">
        <f>IF($C16&gt;0,(IF($C16=$CC$7,(-FV(InflationRate,$CC$7,,$D16)),0)),0)</f>
        <v>0</v>
      </c>
      <c r="CD16" s="149">
        <f>IF($C16&gt;0,(IF($CC$7&gt;=$C16+1, (-FV(InflationRate,$CC$7,,$E16)), 0)),0)</f>
        <v>0</v>
      </c>
      <c r="CE16" s="149">
        <f>IF($C16&gt;0,(IF($CC$7&gt;=$C16+1, (-FV(InflationRate,$CC$7,,$F16)), 0)),0)</f>
        <v>0</v>
      </c>
      <c r="CF16" s="157">
        <f>IF($C16&gt;0,(IF($CC$7&gt;=$C16+1, (-FV(InflationRate,$CC$7,,$G16)), 0)),0)</f>
        <v>0</v>
      </c>
      <c r="CG16" s="160">
        <f>IF($C16&gt;0,(IF($C16=$CG$7,(-FV(InflationRate,$CG$7,,$D16)),0)),0)</f>
        <v>0</v>
      </c>
      <c r="CH16" s="150">
        <f>IF($C16&gt;0,(IF($CG$7&gt;=$C16+1, (-FV(InflationRate,$CG$7,,$E16)), 0)),0)</f>
        <v>0</v>
      </c>
      <c r="CI16" s="150">
        <f>IF($C16&gt;0,(IF($CG$7&gt;=$C16+1, (-FV(InflationRate,$CG$7,,$F16)), 0)),0)</f>
        <v>0</v>
      </c>
      <c r="CJ16" s="176">
        <f>IF($C16&gt;0,(IF($CG$7&gt;=$C16+1, (-FV(InflationRate,$CG$7,,$G16)), 0)),0)</f>
        <v>0</v>
      </c>
      <c r="CK16" s="168">
        <f>IF($C16&gt;0,(IF($C16=$CK$7,(-FV(InflationRate,$CK$7,,$D16)),0)),0)</f>
        <v>0</v>
      </c>
      <c r="CL16" s="149">
        <f>IF($C16&gt;0,(IF($CK$7&gt;=$C16+1, (-FV(InflationRate,$CK$7,,$E16)), 0)),0)</f>
        <v>0</v>
      </c>
      <c r="CM16" s="149">
        <f>IF($C16&gt;0,(IF($CK$7&gt;=$C16+1, (-FV(InflationRate,$CK$7,,$F16)), 0)),0)</f>
        <v>0</v>
      </c>
      <c r="CN16" s="157">
        <f>IF($C16&gt;0,(IF($CK$7&gt;=$C16+1, (-FV(InflationRate,$CK$7,,$G16)), 0)),0)</f>
        <v>0</v>
      </c>
      <c r="CO16" s="160">
        <f>IF($C16&gt;0,(IF($C16=$CO$7,(-FV(InflationRate,$CO$7,,$D16)),0)),0)</f>
        <v>0</v>
      </c>
      <c r="CP16" s="150">
        <f>IF($C16&gt;0,(IF($CO$7&gt;=$C16+1, (-FV(InflationRate,$CO$7,,$E16)), 0)),0)</f>
        <v>0</v>
      </c>
      <c r="CQ16" s="150">
        <f>IF($C16&gt;0,(IF($CO$7&gt;=$C16+1, (-FV(InflationRate,$CO$7,,$F16)), 0)),0)</f>
        <v>0</v>
      </c>
      <c r="CR16" s="176">
        <f>IF($C16&gt;0,(IF($CO$7&gt;=$C16+1, (-FV(InflationRate,$CO$7,,$G16)), 0)),0)</f>
        <v>0</v>
      </c>
      <c r="CS16" s="168">
        <f>IF($C16&gt;0,(IF($C16=$CS$7,(-FV(InflationRate,$CS$7,,$D16)),0)),0)</f>
        <v>0</v>
      </c>
      <c r="CT16" s="149">
        <f>IF($C16&gt;0,(IF($CS$7&gt;=$C16+1, (-FV(InflationRate,$CS$7,,$E16)), 0)),0)</f>
        <v>0</v>
      </c>
      <c r="CU16" s="149">
        <f>IF($C16&gt;0,(IF($CS$7&gt;=$C16+1, (-FV(InflationRate,$CS$7,,$F16)), 0)),0)</f>
        <v>0</v>
      </c>
      <c r="CV16" s="157">
        <f>IF($C16&gt;0,(IF($CS$7&gt;=$C16+1, (-FV(InflationRate,$CS$7,,$G16)), 0)),0)</f>
        <v>0</v>
      </c>
      <c r="CW16" s="160">
        <f>IF($C16&gt;0,(IF($C16=$CW$7,(-FV(InflationRate,$CW$7,,$D16)),0)),0)</f>
        <v>0</v>
      </c>
      <c r="CX16" s="150">
        <f>IF($C16&gt;0,(IF($CW$7&gt;=$C16+1, (-FV(InflationRate,$CW$7,,$E16)), 0)),0)</f>
        <v>0</v>
      </c>
      <c r="CY16" s="150">
        <f>IF($C16&gt;0,(IF($CW$7&gt;=$C16+1, (-FV(InflationRate,$CW$7,,$F16)), 0)),0)</f>
        <v>0</v>
      </c>
      <c r="CZ16" s="176">
        <f>IF($C16&gt;0,(IF($CW$7&gt;=$C16+1, (-FV(InflationRate,$CW$7,,$G16)), 0)),0)</f>
        <v>0</v>
      </c>
      <c r="DA16" s="168">
        <f>IF($C16&gt;0,(IF($C16=$DA$7,(-FV(InflationRate,$DA$7,,$D16)),0)),0)</f>
        <v>0</v>
      </c>
      <c r="DB16" s="149">
        <f>IF($C16&gt;0,(IF($DA$7&gt;=$C16+1, (-FV(InflationRate,$DA$7,,$E16)), 0)),0)</f>
        <v>0</v>
      </c>
      <c r="DC16" s="149">
        <f>IF($C16&gt;0,(IF($DA$7&gt;=$C16+1, (-FV(InflationRate,$DA$7,,$F16)), 0)),0)</f>
        <v>0</v>
      </c>
      <c r="DD16" s="157">
        <f>IF($C16&gt;0,(IF($DA$7&gt;=$C16+1, (-FV(InflationRate,$DA$7,,$G16)), 0)),0)</f>
        <v>0</v>
      </c>
    </row>
    <row r="17" spans="2:108" ht="12.75" customHeight="1" x14ac:dyDescent="0.2">
      <c r="B17" s="182" t="s">
        <v>216</v>
      </c>
      <c r="C17" s="189"/>
      <c r="D17" s="168"/>
      <c r="E17" s="149"/>
      <c r="F17" s="149"/>
      <c r="G17" s="149"/>
      <c r="H17" s="168"/>
      <c r="I17" s="600"/>
      <c r="J17" s="600"/>
      <c r="K17" s="600"/>
      <c r="L17" s="600"/>
      <c r="M17" s="600"/>
      <c r="N17" s="600"/>
      <c r="O17" s="600"/>
      <c r="P17" s="600"/>
      <c r="Q17" s="600"/>
      <c r="R17" s="600"/>
      <c r="S17" s="600"/>
      <c r="T17" s="600"/>
      <c r="U17" s="600"/>
      <c r="V17" s="600"/>
      <c r="W17" s="600"/>
      <c r="X17" s="600"/>
      <c r="Y17" s="600"/>
      <c r="Z17" s="600"/>
      <c r="AA17" s="600"/>
      <c r="AB17" s="601"/>
      <c r="AC17" s="160"/>
      <c r="AD17" s="150"/>
      <c r="AE17" s="150"/>
      <c r="AF17" s="165"/>
      <c r="AG17" s="168"/>
      <c r="AH17" s="149"/>
      <c r="AI17" s="149"/>
      <c r="AJ17" s="171"/>
      <c r="AK17" s="160"/>
      <c r="AL17" s="150"/>
      <c r="AM17" s="150"/>
      <c r="AN17" s="165"/>
      <c r="AO17" s="168"/>
      <c r="AP17" s="149"/>
      <c r="AQ17" s="149"/>
      <c r="AR17" s="157"/>
      <c r="AS17" s="160"/>
      <c r="AT17" s="150"/>
      <c r="AU17" s="150"/>
      <c r="AV17" s="165"/>
      <c r="AW17" s="168"/>
      <c r="AX17" s="149"/>
      <c r="AY17" s="149"/>
      <c r="AZ17" s="157"/>
      <c r="BA17" s="160"/>
      <c r="BB17" s="150"/>
      <c r="BC17" s="150"/>
      <c r="BD17" s="176"/>
      <c r="BE17" s="168"/>
      <c r="BF17" s="149"/>
      <c r="BG17" s="149"/>
      <c r="BH17" s="171"/>
      <c r="BI17" s="160"/>
      <c r="BJ17" s="150"/>
      <c r="BK17" s="150"/>
      <c r="BL17" s="176"/>
      <c r="BM17" s="168"/>
      <c r="BN17" s="149"/>
      <c r="BO17" s="149"/>
      <c r="BP17" s="157"/>
      <c r="BQ17" s="160"/>
      <c r="BR17" s="150"/>
      <c r="BS17" s="150"/>
      <c r="BT17" s="176"/>
      <c r="BU17" s="168"/>
      <c r="BV17" s="149"/>
      <c r="BW17" s="149"/>
      <c r="BX17" s="157"/>
      <c r="BY17" s="160"/>
      <c r="BZ17" s="150"/>
      <c r="CA17" s="150"/>
      <c r="CB17" s="176"/>
      <c r="CC17" s="168"/>
      <c r="CD17" s="149"/>
      <c r="CE17" s="149"/>
      <c r="CF17" s="157"/>
      <c r="CG17" s="160"/>
      <c r="CH17" s="150"/>
      <c r="CI17" s="150"/>
      <c r="CJ17" s="176"/>
      <c r="CK17" s="168"/>
      <c r="CL17" s="149"/>
      <c r="CM17" s="149"/>
      <c r="CN17" s="157"/>
      <c r="CO17" s="160"/>
      <c r="CP17" s="150"/>
      <c r="CQ17" s="150"/>
      <c r="CR17" s="176"/>
      <c r="CS17" s="168"/>
      <c r="CT17" s="149"/>
      <c r="CU17" s="149"/>
      <c r="CV17" s="157"/>
      <c r="CW17" s="160"/>
      <c r="CX17" s="150"/>
      <c r="CY17" s="150"/>
      <c r="CZ17" s="176"/>
      <c r="DA17" s="168"/>
      <c r="DB17" s="149"/>
      <c r="DC17" s="149"/>
      <c r="DD17" s="157"/>
    </row>
    <row r="18" spans="2:108" ht="12.75" customHeight="1" x14ac:dyDescent="0.2">
      <c r="B18" s="183" t="s">
        <v>220</v>
      </c>
      <c r="C18" s="556">
        <v>2</v>
      </c>
      <c r="D18" s="557">
        <f>2078240+19560</f>
        <v>2097800</v>
      </c>
      <c r="E18" s="149"/>
      <c r="F18" s="149"/>
      <c r="G18" s="149"/>
      <c r="H18" s="168">
        <f>SUM(I18:AB18)</f>
        <v>2160262.0980853704</v>
      </c>
      <c r="I18" s="610">
        <f>-PV(InterestRate,I$8,,(SUM(AC18:AF18)))</f>
        <v>0</v>
      </c>
      <c r="J18" s="610">
        <f>-PV(InterestRate,J$8,,(SUM(AG18:AJ18)))</f>
        <v>2160262.0980853704</v>
      </c>
      <c r="K18" s="610">
        <f>-PV(InterestRate,K$8,,(SUM(AK18:AN18)))</f>
        <v>0</v>
      </c>
      <c r="L18" s="610">
        <f>-PV(InterestRate,L$8,,(SUM(AO18:AR18)))</f>
        <v>0</v>
      </c>
      <c r="M18" s="610">
        <f>-PV(InterestRate,M$8,,(SUM(AS18:AV18)))</f>
        <v>0</v>
      </c>
      <c r="N18" s="610">
        <f>-PV(InterestRate,N$8,,(SUM(AW18:AZ18)))</f>
        <v>0</v>
      </c>
      <c r="O18" s="610">
        <f>-PV(InterestRate,O$8,,(SUM(BA18:BD18)))</f>
        <v>0</v>
      </c>
      <c r="P18" s="610">
        <f>-PV(InterestRate,P$8,,(SUM(BE18:BH18)))</f>
        <v>0</v>
      </c>
      <c r="Q18" s="610">
        <f>-PV(InterestRate,Q$8,,(SUM(BI18:BL18)))</f>
        <v>0</v>
      </c>
      <c r="R18" s="610">
        <f>-PV(InterestRate,R$8,,(SUM(BM18:BP18)))</f>
        <v>0</v>
      </c>
      <c r="S18" s="610">
        <f>-PV(InterestRate,S$8,,(SUM(BQ18:BT18)))</f>
        <v>0</v>
      </c>
      <c r="T18" s="610">
        <f>-PV(InterestRate,T$8,,(SUM(BU18:BX18)))</f>
        <v>0</v>
      </c>
      <c r="U18" s="610">
        <f>-PV(InterestRate,U$8,,(SUM(BY18:CB18)))</f>
        <v>0</v>
      </c>
      <c r="V18" s="610">
        <f>-PV(InterestRate,V$8,,(SUM(CC18:CF18)))</f>
        <v>0</v>
      </c>
      <c r="W18" s="610">
        <f>-PV(InterestRate,W$8,,(SUM(CG18:CJ18)))</f>
        <v>0</v>
      </c>
      <c r="X18" s="610">
        <f>-PV(InterestRate,X$8,,(SUM(CK18:CN18)))</f>
        <v>0</v>
      </c>
      <c r="Y18" s="610">
        <f>-PV(InterestRate,Y$8,,(SUM(CO18:CR18)))</f>
        <v>0</v>
      </c>
      <c r="Z18" s="610">
        <f>-PV(InterestRate,Z$8,,(SUM(CS18:CV18)))</f>
        <v>0</v>
      </c>
      <c r="AA18" s="610">
        <f>-PV(InterestRate,AA$8,,(SUM(CW18:CZ18)))</f>
        <v>0</v>
      </c>
      <c r="AB18" s="611">
        <f>-PV(InterestRate,AB$8,,(SUM(DA18:DD18)))</f>
        <v>0</v>
      </c>
      <c r="AC18" s="160">
        <f>IF($C18&gt;0,(IF($C18=$AC$7,$D18,0)),0)</f>
        <v>0</v>
      </c>
      <c r="AD18" s="150">
        <f>IF($C18&gt;0,(IF($AC$7&gt;=$C18+1,$E18,0)),0)</f>
        <v>0</v>
      </c>
      <c r="AE18" s="150">
        <f>IF($C18&gt;0,(IF($C18=$AC$7,$F18,0)),0)</f>
        <v>0</v>
      </c>
      <c r="AF18" s="165">
        <f>IF($C18&gt;0,(IF($AC$7&gt;=$C18+1,$G18,0)),0)</f>
        <v>0</v>
      </c>
      <c r="AG18" s="168">
        <f>IF($C18&gt;0,(IF($C18=$AG$7,(-FV(InflationRate,$AG$7,,$D18)),0)),0)</f>
        <v>2225556.02</v>
      </c>
      <c r="AH18" s="149">
        <f>IF($C18&gt;0,(IF($AG$7&gt;=$C18+1, (-FV(InflationRate,$AG$7,,$E18)), 0)),0)</f>
        <v>0</v>
      </c>
      <c r="AI18" s="149">
        <f>IF($C18&gt;0,(IF($AG$7&gt;=$C18+1, (-FV(InflationRate,$AG$7,,$F18)), 0)),0)</f>
        <v>0</v>
      </c>
      <c r="AJ18" s="171">
        <f>IF($C18&gt;0,(IF($AG$7&gt;=$C18+1, (-FV(InflationRate,$AG$7,,$G18)), 0)),0)</f>
        <v>0</v>
      </c>
      <c r="AK18" s="160">
        <f>IF($C18&gt;0,(IF($C18=$AK$7,(-FV(InflationRate,$AK$7,,$D18)),0)),0)</f>
        <v>0</v>
      </c>
      <c r="AL18" s="150">
        <f>IF($C18&gt;0,(IF($AK$7&gt;=$C18+1, (-FV(InflationRate,$AK$7,,$E18)), 0)),0)</f>
        <v>0</v>
      </c>
      <c r="AM18" s="150">
        <f>IF($C18&gt;0,(IF($AK$7&gt;=$C18+1, (-FV(InflationRate,$AK$7,,$F18)), 0)),0)</f>
        <v>0</v>
      </c>
      <c r="AN18" s="165">
        <f>IF($C18&gt;0,(IF($AK$7&gt;=$C18+1, (-FV(InflationRate,$AK$7,,$G18)), 0)),0)</f>
        <v>0</v>
      </c>
      <c r="AO18" s="168">
        <f>IF($C18&gt;0,(IF($C18=$AO$7,(-FV(InflationRate,$AO$7,,$D18)),0)),0)</f>
        <v>0</v>
      </c>
      <c r="AP18" s="149">
        <f>IF($C18&gt;0,(IF($AO$7&gt;=$C18+1, (-FV(InflationRate,$AO$7,,$E18)), 0)),0)</f>
        <v>0</v>
      </c>
      <c r="AQ18" s="149">
        <f>IF($C18&gt;0,(IF($AO$7&gt;=$C18+1, (-FV(InflationRate,$AO$7,,$F18)), 0)),0)</f>
        <v>0</v>
      </c>
      <c r="AR18" s="157">
        <f>IF($C18&gt;0,(IF($AO$7&gt;=$C18+1, (-FV(InflationRate,$AO$7,,$G18)), 0)),0)</f>
        <v>0</v>
      </c>
      <c r="AS18" s="160">
        <f>IF($C18&gt;0,(IF($C18=$AS$7,(-FV(InflationRate,$AS$7,,$D18)),0)),0)</f>
        <v>0</v>
      </c>
      <c r="AT18" s="150">
        <f>IF($C18&gt;0,(IF($AS$7&gt;=$C18+1, (-FV(InflationRate,$AS$7,,$E18)), 0)),0)</f>
        <v>0</v>
      </c>
      <c r="AU18" s="150">
        <f>IF($C18&gt;0,(IF($AS$7&gt;=$C18+1, (-FV(InflationRate,$AS$7,,$F18)), 0)),0)</f>
        <v>0</v>
      </c>
      <c r="AV18" s="165">
        <f>IF($C18&gt;0,(IF($AS$7&gt;=$C18+1, (-FV(InflationRate,$AS$7,,$G18)), 0)),0)</f>
        <v>0</v>
      </c>
      <c r="AW18" s="168">
        <f>IF($C18&gt;0,(IF($C18=$AW$7,(-FV(InflationRate,$AW$7,,$D18)),0)),0)</f>
        <v>0</v>
      </c>
      <c r="AX18" s="149">
        <f>IF($C18&gt;0,(IF($AW$7&gt;=$C18+1, (-FV(InflationRate,$AW$7,,$E18)), 0)),0)</f>
        <v>0</v>
      </c>
      <c r="AY18" s="149">
        <f>IF($C18&gt;0,(IF($AW$7&gt;=$C18+1, (-FV(InflationRate,$AW$7,,$F18)), 0)),0)</f>
        <v>0</v>
      </c>
      <c r="AZ18" s="157">
        <f>IF($C18&gt;0,(IF($AW$7&gt;=$C18+1, (-FV(InflationRate,$AW$7,,$G18)), 0)),0)</f>
        <v>0</v>
      </c>
      <c r="BA18" s="160">
        <f>IF($C18&gt;0,(IF($C18=$BA$7,(-FV(InflationRate,$BA$7,,$D18)),0)),0)</f>
        <v>0</v>
      </c>
      <c r="BB18" s="150">
        <f>IF($C18&gt;0,(IF($BA$7&gt;=$C18+1, (-FV(InflationRate,$BA$7,,$E18)), 0)),0)</f>
        <v>0</v>
      </c>
      <c r="BC18" s="150">
        <f>IF($C18&gt;0,(IF($BA$7&gt;=$C18+1, (-FV(InflationRate,$BA$7,,$F18)), 0)),0)</f>
        <v>0</v>
      </c>
      <c r="BD18" s="176">
        <f>IF($C18&gt;0,(IF($BA$7&gt;=$C18+1, (-FV(InflationRate,$BA$7,,$G18)), 0)),0)</f>
        <v>0</v>
      </c>
      <c r="BE18" s="168">
        <f>IF($C18&gt;0,(IF($C18=$BE$7,(-FV(InflationRate,$BE$7,,$D18)),0)),0)</f>
        <v>0</v>
      </c>
      <c r="BF18" s="149">
        <f>IF($C18&gt;0,(IF($BE$7&gt;=$C18+1, (-FV(InflationRate,$BE$7,,$E18)), 0)),0)</f>
        <v>0</v>
      </c>
      <c r="BG18" s="149">
        <f>IF($C18&gt;0,(IF($BE$7&gt;=$C18+1, (-FV(InflationRate,$BE$7,,$F18)), 0)),0)</f>
        <v>0</v>
      </c>
      <c r="BH18" s="171">
        <f>IF($C18&gt;0,(IF($BE$7&gt;=$C18+1, (-FV(InflationRate,$BE$7,,$G18)), 0)),0)</f>
        <v>0</v>
      </c>
      <c r="BI18" s="160">
        <f>IF($C18&gt;0,(IF($C18=$BI$7,(-FV(InflationRate,$BI$7,,$D18)),0)),0)</f>
        <v>0</v>
      </c>
      <c r="BJ18" s="150">
        <f>IF($C18&gt;0,(IF($BI$7&gt;=$C18+1, (-FV(InflationRate,$BI$7,,$E18)), 0)),0)</f>
        <v>0</v>
      </c>
      <c r="BK18" s="150">
        <f>IF($C18&gt;0,(IF($BI$7&gt;=$C18+1, (-FV(InflationRate,$BI$7,,$F18)), 0)),0)</f>
        <v>0</v>
      </c>
      <c r="BL18" s="176">
        <f>IF($C18&gt;0,(IF($BI$7&gt;=$C18+1, (-FV(InflationRate,$BI$7,,$G18)), 0)),0)</f>
        <v>0</v>
      </c>
      <c r="BM18" s="168">
        <f>IF($C18&gt;0,(IF($C18=$BM$7,(-FV(InflationRate,$BM$7,,$D18)),0)),0)</f>
        <v>0</v>
      </c>
      <c r="BN18" s="149">
        <f>IF($C18&gt;0,(IF($BM$7&gt;=$C18+1, (-FV(InflationRate,$BM$7,,$E18)), 0)),0)</f>
        <v>0</v>
      </c>
      <c r="BO18" s="149">
        <f>IF($C18&gt;0,(IF($BM$7&gt;=$C18+1, (-FV(InflationRate,$BM$7,,$F18)), 0)),0)</f>
        <v>0</v>
      </c>
      <c r="BP18" s="157">
        <f>IF($C18&gt;0,(IF($BM$7&gt;=$C18+1, (-FV(InflationRate,$BM$7,,$G18)), 0)),0)</f>
        <v>0</v>
      </c>
      <c r="BQ18" s="160">
        <f>IF($C18&gt;0,(IF($C18=$BQ$7,(-FV(InflationRate,$BQ$7,,$D18)),0)),0)</f>
        <v>0</v>
      </c>
      <c r="BR18" s="150">
        <f>IF($C18&gt;0,(IF($BQ$7&gt;=$C18+1, (-FV(InflationRate,$BQ$7,,$E18)), 0)),0)</f>
        <v>0</v>
      </c>
      <c r="BS18" s="150">
        <f>IF($C18&gt;0,(IF($BQ$7&gt;=$C18+1, (-FV(InflationRate,$BQ$7,,$F18)), 0)),0)</f>
        <v>0</v>
      </c>
      <c r="BT18" s="176">
        <f>IF($C18&gt;0,(IF($BQ$7&gt;=$C18+1, (-FV(InflationRate,$BQ$7,,$G18)), 0)),0)</f>
        <v>0</v>
      </c>
      <c r="BU18" s="168">
        <f>IF($C18&gt;0,(IF($C18=$BU$7,(-FV(InflationRate,$BU$7,,$D18)),0)),0)</f>
        <v>0</v>
      </c>
      <c r="BV18" s="149">
        <f>IF($C18&gt;0,(IF($BU$7&gt;=$C18+1, (-FV(InflationRate,$BU$7,,$E18)), 0)),0)</f>
        <v>0</v>
      </c>
      <c r="BW18" s="149">
        <f>IF($C18&gt;0,(IF($BU$7&gt;=$C18+1, (-FV(InflationRate,$BU$7,,$F18)), 0)),0)</f>
        <v>0</v>
      </c>
      <c r="BX18" s="157">
        <f>IF($C18&gt;0,(IF($BU$7&gt;=$C18+1, (-FV(InflationRate,$BU$7,,$G18)), 0)),0)</f>
        <v>0</v>
      </c>
      <c r="BY18" s="160">
        <f>IF($C18&gt;0,(IF($C18=$BY$7,(-FV(InflationRate,$BY$7,,$D18)),0)),0)</f>
        <v>0</v>
      </c>
      <c r="BZ18" s="150">
        <f>IF($C18&gt;0,(IF($BY$7&gt;=$C18+1, (-FV(InflationRate,$BY$7,,$E18)), 0)),0)</f>
        <v>0</v>
      </c>
      <c r="CA18" s="150">
        <f>IF($C18&gt;0,(IF($BY$7&gt;=$C18+1, (-FV(InflationRate,$BY$7,,$F18)), 0)),0)</f>
        <v>0</v>
      </c>
      <c r="CB18" s="176">
        <f>IF($C18&gt;0,(IF($BY$7&gt;=$C18+1, (-FV(InflationRate,$BY$7,,$G18)), 0)),0)</f>
        <v>0</v>
      </c>
      <c r="CC18" s="168">
        <f>IF($C18&gt;0,(IF($C18=$CC$7,(-FV(InflationRate,$CC$7,,$D18)),0)),0)</f>
        <v>0</v>
      </c>
      <c r="CD18" s="149">
        <f>IF($C18&gt;0,(IF($CC$7&gt;=$C18+1, (-FV(InflationRate,$CC$7,,$E18)), 0)),0)</f>
        <v>0</v>
      </c>
      <c r="CE18" s="149">
        <f>IF($C18&gt;0,(IF($CC$7&gt;=$C18+1, (-FV(InflationRate,$CC$7,,$F18)), 0)),0)</f>
        <v>0</v>
      </c>
      <c r="CF18" s="157">
        <f>IF($C18&gt;0,(IF($CC$7&gt;=$C18+1, (-FV(InflationRate,$CC$7,,$G18)), 0)),0)</f>
        <v>0</v>
      </c>
      <c r="CG18" s="160">
        <f>IF($C18&gt;0,(IF($C18=$CG$7,(-FV(InflationRate,$CG$7,,$D18)),0)),0)</f>
        <v>0</v>
      </c>
      <c r="CH18" s="150">
        <f>IF($C18&gt;0,(IF($CG$7&gt;=$C18+1, (-FV(InflationRate,$CG$7,,$E18)), 0)),0)</f>
        <v>0</v>
      </c>
      <c r="CI18" s="150">
        <f>IF($C18&gt;0,(IF($CG$7&gt;=$C18+1, (-FV(InflationRate,$CG$7,,$F18)), 0)),0)</f>
        <v>0</v>
      </c>
      <c r="CJ18" s="176">
        <f>IF($C18&gt;0,(IF($CG$7&gt;=$C18+1, (-FV(InflationRate,$CG$7,,$G18)), 0)),0)</f>
        <v>0</v>
      </c>
      <c r="CK18" s="168">
        <f>IF($C18&gt;0,(IF($C18=$CK$7,(-FV(InflationRate,$CK$7,,$D18)),0)),0)</f>
        <v>0</v>
      </c>
      <c r="CL18" s="149">
        <f>IF($C18&gt;0,(IF($CK$7&gt;=$C18+1, (-FV(InflationRate,$CK$7,,$E18)), 0)),0)</f>
        <v>0</v>
      </c>
      <c r="CM18" s="149">
        <f>IF($C18&gt;0,(IF($CK$7&gt;=$C18+1, (-FV(InflationRate,$CK$7,,$F18)), 0)),0)</f>
        <v>0</v>
      </c>
      <c r="CN18" s="157">
        <f>IF($C18&gt;0,(IF($CK$7&gt;=$C18+1, (-FV(InflationRate,$CK$7,,$G18)), 0)),0)</f>
        <v>0</v>
      </c>
      <c r="CO18" s="160">
        <f>IF($C18&gt;0,(IF($C18=$CO$7,(-FV(InflationRate,$CO$7,,$D18)),0)),0)</f>
        <v>0</v>
      </c>
      <c r="CP18" s="150">
        <f>IF($C18&gt;0,(IF($CO$7&gt;=$C18+1, (-FV(InflationRate,$CO$7,,$E18)), 0)),0)</f>
        <v>0</v>
      </c>
      <c r="CQ18" s="150">
        <f>IF($C18&gt;0,(IF($CO$7&gt;=$C18+1, (-FV(InflationRate,$CO$7,,$F18)), 0)),0)</f>
        <v>0</v>
      </c>
      <c r="CR18" s="176">
        <f>IF($C18&gt;0,(IF($CO$7&gt;=$C18+1, (-FV(InflationRate,$CO$7,,$G18)), 0)),0)</f>
        <v>0</v>
      </c>
      <c r="CS18" s="168">
        <f>IF($C18&gt;0,(IF($C18=$CS$7,(-FV(InflationRate,$CS$7,,$D18)),0)),0)</f>
        <v>0</v>
      </c>
      <c r="CT18" s="149">
        <f>IF($C18&gt;0,(IF($CS$7&gt;=$C18+1, (-FV(InflationRate,$CS$7,,$E18)), 0)),0)</f>
        <v>0</v>
      </c>
      <c r="CU18" s="149">
        <f>IF($C18&gt;0,(IF($CS$7&gt;=$C18+1, (-FV(InflationRate,$CS$7,,$F18)), 0)),0)</f>
        <v>0</v>
      </c>
      <c r="CV18" s="157">
        <f>IF($C18&gt;0,(IF($CS$7&gt;=$C18+1, (-FV(InflationRate,$CS$7,,$G18)), 0)),0)</f>
        <v>0</v>
      </c>
      <c r="CW18" s="160">
        <f>IF($C18&gt;0,(IF($C18=$CW$7,(-FV(InflationRate,$CW$7,,$D18)),0)),0)</f>
        <v>0</v>
      </c>
      <c r="CX18" s="150">
        <f>IF($C18&gt;0,(IF($CW$7&gt;=$C18+1, (-FV(InflationRate,$CW$7,,$E18)), 0)),0)</f>
        <v>0</v>
      </c>
      <c r="CY18" s="150">
        <f>IF($C18&gt;0,(IF($CW$7&gt;=$C18+1, (-FV(InflationRate,$CW$7,,$F18)), 0)),0)</f>
        <v>0</v>
      </c>
      <c r="CZ18" s="176">
        <f>IF($C18&gt;0,(IF($CW$7&gt;=$C18+1, (-FV(InflationRate,$CW$7,,$G18)), 0)),0)</f>
        <v>0</v>
      </c>
      <c r="DA18" s="168">
        <f>IF($C18&gt;0,(IF($C18=$DA$7,(-FV(InflationRate,$DA$7,,$D18)),0)),0)</f>
        <v>0</v>
      </c>
      <c r="DB18" s="149">
        <f>IF($C18&gt;0,(IF($DA$7&gt;=$C18+1, (-FV(InflationRate,$DA$7,,$E18)), 0)),0)</f>
        <v>0</v>
      </c>
      <c r="DC18" s="149">
        <f>IF($C18&gt;0,(IF($DA$7&gt;=$C18+1, (-FV(InflationRate,$DA$7,,$F18)), 0)),0)</f>
        <v>0</v>
      </c>
      <c r="DD18" s="157">
        <f>IF($C18&gt;0,(IF($DA$7&gt;=$C18+1, (-FV(InflationRate,$DA$7,,$G18)), 0)),0)</f>
        <v>0</v>
      </c>
    </row>
    <row r="19" spans="2:108" ht="12.75" customHeight="1" x14ac:dyDescent="0.2">
      <c r="B19" s="183" t="s">
        <v>270</v>
      </c>
      <c r="C19" s="556">
        <v>3</v>
      </c>
      <c r="D19" s="557">
        <v>16186950</v>
      </c>
      <c r="E19" s="558">
        <v>196050</v>
      </c>
      <c r="F19" s="149"/>
      <c r="G19" s="558">
        <v>8925</v>
      </c>
      <c r="H19" s="168">
        <f>SUM(I19:AB19)</f>
        <v>21081311.11576191</v>
      </c>
      <c r="I19" s="610">
        <f>-PV(InterestRate,I$8,,(SUM(AC19:AF19)))</f>
        <v>0</v>
      </c>
      <c r="J19" s="610">
        <f>-PV(InterestRate,J$8,,(SUM(AG19:AJ19)))</f>
        <v>0</v>
      </c>
      <c r="K19" s="610">
        <f>-PV(InterestRate,K$8,,(SUM(AK19:AN19)))</f>
        <v>16915255.909973279</v>
      </c>
      <c r="L19" s="610">
        <f>-PV(InterestRate,L$8,,(SUM(AO19:AR19)))</f>
        <v>217363.00270901356</v>
      </c>
      <c r="M19" s="610">
        <f>-PV(InterestRate,M$8,,(SUM(AS19:AV19)))</f>
        <v>220575.26383279209</v>
      </c>
      <c r="N19" s="610">
        <f>-PV(InterestRate,N$8,,(SUM(AW19:AZ19)))</f>
        <v>223834.99679583835</v>
      </c>
      <c r="O19" s="610">
        <f>-PV(InterestRate,O$8,,(SUM(BA19:BD19)))</f>
        <v>227142.90315242711</v>
      </c>
      <c r="P19" s="610">
        <f>-PV(InterestRate,P$8,,(SUM(BE19:BH19)))</f>
        <v>230499.69482463045</v>
      </c>
      <c r="Q19" s="610">
        <f>-PV(InterestRate,Q$8,,(SUM(BI19:BL19)))</f>
        <v>233906.09425553636</v>
      </c>
      <c r="R19" s="610">
        <f>-PV(InterestRate,R$8,,(SUM(BM19:BP19)))</f>
        <v>237362.83456473151</v>
      </c>
      <c r="S19" s="610">
        <f>-PV(InterestRate,S$8,,(SUM(BQ19:BT19)))</f>
        <v>240870.65970608225</v>
      </c>
      <c r="T19" s="610">
        <f>-PV(InterestRate,T$8,,(SUM(BU19:BX19)))</f>
        <v>244430.324627847</v>
      </c>
      <c r="U19" s="610">
        <f>-PV(InterestRate,U$8,,(SUM(BY19:CB19)))</f>
        <v>248042.59543515512</v>
      </c>
      <c r="V19" s="610">
        <f>-PV(InterestRate,V$8,,(SUM(CC19:CF19)))</f>
        <v>251708.24955488657</v>
      </c>
      <c r="W19" s="610">
        <f>-PV(InterestRate,W$8,,(SUM(CG19:CJ19)))</f>
        <v>255428.07590298841</v>
      </c>
      <c r="X19" s="610">
        <f>-PV(InterestRate,X$8,,(SUM(CK19:CN19)))</f>
        <v>259202.87505426406</v>
      </c>
      <c r="Y19" s="610">
        <f>-PV(InterestRate,Y$8,,(SUM(CO19:CR19)))</f>
        <v>263033.45941467199</v>
      </c>
      <c r="Z19" s="610">
        <f>-PV(InterestRate,Z$8,,(SUM(CS19:CV19)))</f>
        <v>266920.6533961696</v>
      </c>
      <c r="AA19" s="610">
        <f>-PV(InterestRate,AA$8,,(SUM(CW19:CZ19)))</f>
        <v>270865.29359414254</v>
      </c>
      <c r="AB19" s="611">
        <f>-PV(InterestRate,AB$8,,(SUM(DA19:DD19)))</f>
        <v>274868.2289674551</v>
      </c>
      <c r="AC19" s="160">
        <f>IF($C19&gt;0,(IF($C19=$AC$7,$D19,0)),0)</f>
        <v>0</v>
      </c>
      <c r="AD19" s="150">
        <f>IF($C19&gt;0,(IF($AC$7&gt;=$C19+1,$E19,0)),0)</f>
        <v>0</v>
      </c>
      <c r="AE19" s="150">
        <f>IF($C19&gt;0,(IF($C19=$AC$7,$F19,0)),0)</f>
        <v>0</v>
      </c>
      <c r="AF19" s="165">
        <f>IF($C19&gt;0,(IF($AC$7&gt;=$C19+1,$G19,0)),0)</f>
        <v>0</v>
      </c>
      <c r="AG19" s="168">
        <f>IF($C19&gt;0,(IF($C19=$AG$7,(-FV(InflationRate,$AG$7,,$D19)),0)),0)</f>
        <v>0</v>
      </c>
      <c r="AH19" s="149">
        <f>IF($C19&gt;0,(IF($AG$7&gt;=$C19+1, (-FV(InflationRate,$AG$7,,$E19)), 0)),0)</f>
        <v>0</v>
      </c>
      <c r="AI19" s="149">
        <f>IF($C19&gt;0,(IF($AG$7&gt;=$C19+1, (-FV(InflationRate,$AG$7,,$F19)), 0)),0)</f>
        <v>0</v>
      </c>
      <c r="AJ19" s="171">
        <f>IF($C19&gt;0,(IF($AG$7&gt;=$C19+1, (-FV(InflationRate,$AG$7,,$G19)), 0)),0)</f>
        <v>0</v>
      </c>
      <c r="AK19" s="160">
        <f>IF($C19&gt;0,(IF($C19=$AK$7,(-FV(InflationRate,$AK$7,,$D19)),0)),0)</f>
        <v>17687917.312649999</v>
      </c>
      <c r="AL19" s="150">
        <f>IF($C19&gt;0,(IF($AK$7&gt;=$C19+1, (-FV(InflationRate,$AK$7,,$E19)), 0)),0)</f>
        <v>0</v>
      </c>
      <c r="AM19" s="150">
        <f>IF($C19&gt;0,(IF($AK$7&gt;=$C19+1, (-FV(InflationRate,$AK$7,,$F19)), 0)),0)</f>
        <v>0</v>
      </c>
      <c r="AN19" s="165">
        <f>IF($C19&gt;0,(IF($AK$7&gt;=$C19+1, (-FV(InflationRate,$AK$7,,$G19)), 0)),0)</f>
        <v>0</v>
      </c>
      <c r="AO19" s="168">
        <f>IF($C19&gt;0,(IF($C19=$AO$7,(-FV(InflationRate,$AO$7,,$D19)),0)),0)</f>
        <v>0</v>
      </c>
      <c r="AP19" s="149">
        <f>IF($C19&gt;0,(IF($AO$7&gt;=$C19+1, (-FV(InflationRate,$AO$7,,$E19)), 0)),0)</f>
        <v>220656.00220049999</v>
      </c>
      <c r="AQ19" s="149">
        <f>IF($C19&gt;0,(IF($AO$7&gt;=$C19+1, (-FV(InflationRate,$AO$7,,$F19)), 0)),0)</f>
        <v>0</v>
      </c>
      <c r="AR19" s="157">
        <f>IF($C19&gt;0,(IF($AO$7&gt;=$C19+1, (-FV(InflationRate,$AO$7,,$G19)), 0)),0)</f>
        <v>10045.166129249999</v>
      </c>
      <c r="AS19" s="160">
        <f>IF($C19&gt;0,(IF($C19=$AS$7,(-FV(InflationRate,$AS$7,,$D19)),0)),0)</f>
        <v>0</v>
      </c>
      <c r="AT19" s="150">
        <f>IF($C19&gt;0,(IF($AS$7&gt;=$C19+1, (-FV(InflationRate,$AS$7,,$E19)), 0)),0)</f>
        <v>227275.68226651498</v>
      </c>
      <c r="AU19" s="150">
        <f>IF($C19&gt;0,(IF($AS$7&gt;=$C19+1, (-FV(InflationRate,$AS$7,,$F19)), 0)),0)</f>
        <v>0</v>
      </c>
      <c r="AV19" s="165">
        <f>IF($C19&gt;0,(IF($AS$7&gt;=$C19+1, (-FV(InflationRate,$AS$7,,$G19)), 0)),0)</f>
        <v>10346.521113127499</v>
      </c>
      <c r="AW19" s="168">
        <f>IF($C19&gt;0,(IF($C19=$AW$7,(-FV(InflationRate,$AW$7,,$D19)),0)),0)</f>
        <v>0</v>
      </c>
      <c r="AX19" s="149">
        <f>IF($C19&gt;0,(IF($AW$7&gt;=$C19+1, (-FV(InflationRate,$AW$7,,$E19)), 0)),0)</f>
        <v>234093.95273451044</v>
      </c>
      <c r="AY19" s="149">
        <f>IF($C19&gt;0,(IF($AW$7&gt;=$C19+1, (-FV(InflationRate,$AW$7,,$F19)), 0)),0)</f>
        <v>0</v>
      </c>
      <c r="AZ19" s="157">
        <f>IF($C19&gt;0,(IF($AW$7&gt;=$C19+1, (-FV(InflationRate,$AW$7,,$G19)), 0)),0)</f>
        <v>10656.916746521325</v>
      </c>
      <c r="BA19" s="160">
        <f>IF($C19&gt;0,(IF($C19=$BA$7,(-FV(InflationRate,$BA$7,,$D19)),0)),0)</f>
        <v>0</v>
      </c>
      <c r="BB19" s="150">
        <f>IF($C19&gt;0,(IF($BA$7&gt;=$C19+1, (-FV(InflationRate,$BA$7,,$E19)), 0)),0)</f>
        <v>241116.77131654575</v>
      </c>
      <c r="BC19" s="150">
        <f>IF($C19&gt;0,(IF($BA$7&gt;=$C19+1, (-FV(InflationRate,$BA$7,,$F19)), 0)),0)</f>
        <v>0</v>
      </c>
      <c r="BD19" s="176">
        <f>IF($C19&gt;0,(IF($BA$7&gt;=$C19+1, (-FV(InflationRate,$BA$7,,$G19)), 0)),0)</f>
        <v>10976.624248916965</v>
      </c>
      <c r="BE19" s="168">
        <f>IF($C19&gt;0,(IF($C19=$BE$7,(-FV(InflationRate,$BE$7,,$D19)),0)),0)</f>
        <v>0</v>
      </c>
      <c r="BF19" s="149">
        <f>IF($C19&gt;0,(IF($BE$7&gt;=$C19+1, (-FV(InflationRate,$BE$7,,$E19)), 0)),0)</f>
        <v>248350.2744560421</v>
      </c>
      <c r="BG19" s="149">
        <f>IF($C19&gt;0,(IF($BE$7&gt;=$C19+1, (-FV(InflationRate,$BE$7,,$F19)), 0)),0)</f>
        <v>0</v>
      </c>
      <c r="BH19" s="171">
        <f>IF($C19&gt;0,(IF($BE$7&gt;=$C19+1, (-FV(InflationRate,$BE$7,,$G19)), 0)),0)</f>
        <v>11305.922976384472</v>
      </c>
      <c r="BI19" s="160">
        <f>IF($C19&gt;0,(IF($C19=$BI$7,(-FV(InflationRate,$BI$7,,$D19)),0)),0)</f>
        <v>0</v>
      </c>
      <c r="BJ19" s="150">
        <f>IF($C19&gt;0,(IF($BI$7&gt;=$C19+1, (-FV(InflationRate,$BI$7,,$E19)), 0)),0)</f>
        <v>255800.78268972336</v>
      </c>
      <c r="BK19" s="150">
        <f>IF($C19&gt;0,(IF($BI$7&gt;=$C19+1, (-FV(InflationRate,$BI$7,,$F19)), 0)),0)</f>
        <v>0</v>
      </c>
      <c r="BL19" s="176">
        <f>IF($C19&gt;0,(IF($BI$7&gt;=$C19+1, (-FV(InflationRate,$BI$7,,$G19)), 0)),0)</f>
        <v>11645.100665676007</v>
      </c>
      <c r="BM19" s="168">
        <f>IF($C19&gt;0,(IF($C19=$BM$7,(-FV(InflationRate,$BM$7,,$D19)),0)),0)</f>
        <v>0</v>
      </c>
      <c r="BN19" s="149">
        <f>IF($C19&gt;0,(IF($BM$7&gt;=$C19+1, (-FV(InflationRate,$BM$7,,$E19)), 0)),0)</f>
        <v>263474.80617041508</v>
      </c>
      <c r="BO19" s="149">
        <f>IF($C19&gt;0,(IF($BM$7&gt;=$C19+1, (-FV(InflationRate,$BM$7,,$F19)), 0)),0)</f>
        <v>0</v>
      </c>
      <c r="BP19" s="157">
        <f>IF($C19&gt;0,(IF($BM$7&gt;=$C19+1, (-FV(InflationRate,$BM$7,,$G19)), 0)),0)</f>
        <v>11994.453685646287</v>
      </c>
      <c r="BQ19" s="160">
        <f>IF($C19&gt;0,(IF($C19=$BQ$7,(-FV(InflationRate,$BQ$7,,$D19)),0)),0)</f>
        <v>0</v>
      </c>
      <c r="BR19" s="150">
        <f>IF($C19&gt;0,(IF($BQ$7&gt;=$C19+1, (-FV(InflationRate,$BQ$7,,$E19)), 0)),0)</f>
        <v>271379.05035552755</v>
      </c>
      <c r="BS19" s="150">
        <f>IF($C19&gt;0,(IF($BQ$7&gt;=$C19+1, (-FV(InflationRate,$BQ$7,,$F19)), 0)),0)</f>
        <v>0</v>
      </c>
      <c r="BT19" s="176">
        <f>IF($C19&gt;0,(IF($BQ$7&gt;=$C19+1, (-FV(InflationRate,$BQ$7,,$G19)), 0)),0)</f>
        <v>12354.287296215676</v>
      </c>
      <c r="BU19" s="168">
        <f>IF($C19&gt;0,(IF($C19=$BU$7,(-FV(InflationRate,$BU$7,,$D19)),0)),0)</f>
        <v>0</v>
      </c>
      <c r="BV19" s="149">
        <f>IF($C19&gt;0,(IF($BU$7&gt;=$C19+1, (-FV(InflationRate,$BU$7,,$E19)), 0)),0)</f>
        <v>279520.4218661933</v>
      </c>
      <c r="BW19" s="149">
        <f>IF($C19&gt;0,(IF($BU$7&gt;=$C19+1, (-FV(InflationRate,$BU$7,,$F19)), 0)),0)</f>
        <v>0</v>
      </c>
      <c r="BX19" s="157">
        <f>IF($C19&gt;0,(IF($BU$7&gt;=$C19+1, (-FV(InflationRate,$BU$7,,$G19)), 0)),0)</f>
        <v>12724.915915102145</v>
      </c>
      <c r="BY19" s="160">
        <f>IF($C19&gt;0,(IF($C19=$BY$7,(-FV(InflationRate,$BY$7,,$D19)),0)),0)</f>
        <v>0</v>
      </c>
      <c r="BZ19" s="150">
        <f>IF($C19&gt;0,(IF($BY$7&gt;=$C19+1, (-FV(InflationRate,$BY$7,,$E19)), 0)),0)</f>
        <v>287906.03452217911</v>
      </c>
      <c r="CA19" s="150">
        <f>IF($C19&gt;0,(IF($BY$7&gt;=$C19+1, (-FV(InflationRate,$BY$7,,$F19)), 0)),0)</f>
        <v>0</v>
      </c>
      <c r="CB19" s="176">
        <f>IF($C19&gt;0,(IF($BY$7&gt;=$C19+1, (-FV(InflationRate,$BY$7,,$G19)), 0)),0)</f>
        <v>13106.663392555209</v>
      </c>
      <c r="CC19" s="168">
        <f>IF($C19&gt;0,(IF($C19=$CC$7,(-FV(InflationRate,$CC$7,,$D19)),0)),0)</f>
        <v>0</v>
      </c>
      <c r="CD19" s="149">
        <f>IF($C19&gt;0,(IF($CC$7&gt;=$C19+1, (-FV(InflationRate,$CC$7,,$E19)), 0)),0)</f>
        <v>296543.21555784449</v>
      </c>
      <c r="CE19" s="149">
        <f>IF($C19&gt;0,(IF($CC$7&gt;=$C19+1, (-FV(InflationRate,$CC$7,,$F19)), 0)),0)</f>
        <v>0</v>
      </c>
      <c r="CF19" s="157">
        <f>IF($C19&gt;0,(IF($CC$7&gt;=$C19+1, (-FV(InflationRate,$CC$7,,$G19)), 0)),0)</f>
        <v>13499.863294331866</v>
      </c>
      <c r="CG19" s="160">
        <f>IF($C19&gt;0,(IF($C19=$CG$7,(-FV(InflationRate,$CG$7,,$D19)),0)),0)</f>
        <v>0</v>
      </c>
      <c r="CH19" s="150">
        <f>IF($C19&gt;0,(IF($CG$7&gt;=$C19+1, (-FV(InflationRate,$CG$7,,$E19)), 0)),0)</f>
        <v>305439.51202457986</v>
      </c>
      <c r="CI19" s="150">
        <f>IF($C19&gt;0,(IF($CG$7&gt;=$C19+1, (-FV(InflationRate,$CG$7,,$F19)), 0)),0)</f>
        <v>0</v>
      </c>
      <c r="CJ19" s="176">
        <f>IF($C19&gt;0,(IF($CG$7&gt;=$C19+1, (-FV(InflationRate,$CG$7,,$G19)), 0)),0)</f>
        <v>13904.859193161823</v>
      </c>
      <c r="CK19" s="168">
        <f>IF($C19&gt;0,(IF($C19=$CK$7,(-FV(InflationRate,$CK$7,,$D19)),0)),0)</f>
        <v>0</v>
      </c>
      <c r="CL19" s="149">
        <f>IF($C19&gt;0,(IF($CK$7&gt;=$C19+1, (-FV(InflationRate,$CK$7,,$E19)), 0)),0)</f>
        <v>314602.69738531718</v>
      </c>
      <c r="CM19" s="149">
        <f>IF($C19&gt;0,(IF($CK$7&gt;=$C19+1, (-FV(InflationRate,$CK$7,,$F19)), 0)),0)</f>
        <v>0</v>
      </c>
      <c r="CN19" s="157">
        <f>IF($C19&gt;0,(IF($CK$7&gt;=$C19+1, (-FV(InflationRate,$CK$7,,$G19)), 0)),0)</f>
        <v>14322.004968956675</v>
      </c>
      <c r="CO19" s="160">
        <f>IF($C19&gt;0,(IF($C19=$CO$7,(-FV(InflationRate,$CO$7,,$D19)),0)),0)</f>
        <v>0</v>
      </c>
      <c r="CP19" s="150">
        <f>IF($C19&gt;0,(IF($CO$7&gt;=$C19+1, (-FV(InflationRate,$CO$7,,$E19)), 0)),0)</f>
        <v>324040.77830687672</v>
      </c>
      <c r="CQ19" s="150">
        <f>IF($C19&gt;0,(IF($CO$7&gt;=$C19+1, (-FV(InflationRate,$CO$7,,$F19)), 0)),0)</f>
        <v>0</v>
      </c>
      <c r="CR19" s="176">
        <f>IF($C19&gt;0,(IF($CO$7&gt;=$C19+1, (-FV(InflationRate,$CO$7,,$G19)), 0)),0)</f>
        <v>14751.665118025376</v>
      </c>
      <c r="CS19" s="168">
        <f>IF($C19&gt;0,(IF($C19=$CS$7,(-FV(InflationRate,$CS$7,,$D19)),0)),0)</f>
        <v>0</v>
      </c>
      <c r="CT19" s="149">
        <f>IF($C19&gt;0,(IF($CS$7&gt;=$C19+1, (-FV(InflationRate,$CS$7,,$E19)), 0)),0)</f>
        <v>333762.00165608304</v>
      </c>
      <c r="CU19" s="149">
        <f>IF($C19&gt;0,(IF($CS$7&gt;=$C19+1, (-FV(InflationRate,$CS$7,,$F19)), 0)),0)</f>
        <v>0</v>
      </c>
      <c r="CV19" s="157">
        <f>IF($C19&gt;0,(IF($CS$7&gt;=$C19+1, (-FV(InflationRate,$CS$7,,$G19)), 0)),0)</f>
        <v>15194.215071566136</v>
      </c>
      <c r="CW19" s="160">
        <f>IF($C19&gt;0,(IF($C19=$CW$7,(-FV(InflationRate,$CW$7,,$D19)),0)),0)</f>
        <v>0</v>
      </c>
      <c r="CX19" s="150">
        <f>IF($C19&gt;0,(IF($CW$7&gt;=$C19+1, (-FV(InflationRate,$CW$7,,$E19)), 0)),0)</f>
        <v>343774.86170576554</v>
      </c>
      <c r="CY19" s="150">
        <f>IF($C19&gt;0,(IF($CW$7&gt;=$C19+1, (-FV(InflationRate,$CW$7,,$F19)), 0)),0)</f>
        <v>0</v>
      </c>
      <c r="CZ19" s="176">
        <f>IF($C19&gt;0,(IF($CW$7&gt;=$C19+1, (-FV(InflationRate,$CW$7,,$G19)), 0)),0)</f>
        <v>15650.04152371312</v>
      </c>
      <c r="DA19" s="168">
        <f>IF($C19&gt;0,(IF($C19=$DA$7,(-FV(InflationRate,$DA$7,,$D19)),0)),0)</f>
        <v>0</v>
      </c>
      <c r="DB19" s="149">
        <f>IF($C19&gt;0,(IF($DA$7&gt;=$C19+1, (-FV(InflationRate,$DA$7,,$E19)), 0)),0)</f>
        <v>354088.10755693848</v>
      </c>
      <c r="DC19" s="149">
        <f>IF($C19&gt;0,(IF($DA$7&gt;=$C19+1, (-FV(InflationRate,$DA$7,,$F19)), 0)),0)</f>
        <v>0</v>
      </c>
      <c r="DD19" s="157">
        <f>IF($C19&gt;0,(IF($DA$7&gt;=$C19+1, (-FV(InflationRate,$DA$7,,$G19)), 0)),0)</f>
        <v>16119.542769424514</v>
      </c>
    </row>
    <row r="20" spans="2:108" ht="12.75" customHeight="1" x14ac:dyDescent="0.2">
      <c r="B20" s="183" t="s">
        <v>203</v>
      </c>
      <c r="C20" s="556">
        <v>3</v>
      </c>
      <c r="D20" s="168"/>
      <c r="E20" s="149"/>
      <c r="F20" s="558">
        <v>32475</v>
      </c>
      <c r="G20" s="149"/>
      <c r="H20" s="168">
        <f>SUM(I20:AB20)</f>
        <v>660044.60450291913</v>
      </c>
      <c r="I20" s="610">
        <f>-PV(InterestRate,I$8,,(SUM(AC20:AF20)))</f>
        <v>0</v>
      </c>
      <c r="J20" s="610">
        <f>-PV(InterestRate,J$8,,(SUM(AG20:AJ20)))</f>
        <v>0</v>
      </c>
      <c r="K20" s="610">
        <f>-PV(InterestRate,K$8,,(SUM(AK20:AN20)))</f>
        <v>0</v>
      </c>
      <c r="L20" s="610">
        <f>-PV(InterestRate,L$8,,(SUM(AO20:AR20)))</f>
        <v>34437.680268204487</v>
      </c>
      <c r="M20" s="610">
        <f>-PV(InterestRate,M$8,,(SUM(AS20:AV20)))</f>
        <v>34946.611503695196</v>
      </c>
      <c r="N20" s="610">
        <f>-PV(InterestRate,N$8,,(SUM(AW20:AZ20)))</f>
        <v>35463.063890449317</v>
      </c>
      <c r="O20" s="610">
        <f>-PV(InterestRate,O$8,,(SUM(BA20:BD20)))</f>
        <v>35987.148578485525</v>
      </c>
      <c r="P20" s="610">
        <f>-PV(InterestRate,P$8,,(SUM(BE20:BH20)))</f>
        <v>36518.97836043359</v>
      </c>
      <c r="Q20" s="610">
        <f>-PV(InterestRate,Q$8,,(SUM(BI20:BL20)))</f>
        <v>37058.667695809454</v>
      </c>
      <c r="R20" s="610">
        <f>-PV(InterestRate,R$8,,(SUM(BM20:BP20)))</f>
        <v>37606.332735649012</v>
      </c>
      <c r="S20" s="610">
        <f>-PV(InterestRate,S$8,,(SUM(BQ20:BT20)))</f>
        <v>38162.091347505899</v>
      </c>
      <c r="T20" s="610">
        <f>-PV(InterestRate,T$8,,(SUM(BU20:BX20)))</f>
        <v>38726.063140818791</v>
      </c>
      <c r="U20" s="610">
        <f>-PV(InterestRate,U$8,,(SUM(BY20:CB20)))</f>
        <v>39298.369492653554</v>
      </c>
      <c r="V20" s="610">
        <f>-PV(InterestRate,V$8,,(SUM(CC20:CF20)))</f>
        <v>39879.133573825791</v>
      </c>
      <c r="W20" s="610">
        <f>-PV(InterestRate,W$8,,(SUM(CG20:CJ20)))</f>
        <v>40468.480375409432</v>
      </c>
      <c r="X20" s="610">
        <f>-PV(InterestRate,X$8,,(SUM(CK20:CN20)))</f>
        <v>41066.536735637157</v>
      </c>
      <c r="Y20" s="610">
        <f>-PV(InterestRate,Y$8,,(SUM(CO20:CR20)))</f>
        <v>41673.431367198304</v>
      </c>
      <c r="Z20" s="610">
        <f>-PV(InterestRate,Z$8,,(SUM(CS20:CV20)))</f>
        <v>42289.294884940151</v>
      </c>
      <c r="AA20" s="610">
        <f>-PV(InterestRate,AA$8,,(SUM(CW20:CZ20)))</f>
        <v>42914.259833978678</v>
      </c>
      <c r="AB20" s="611">
        <f>-PV(InterestRate,AB$8,,(SUM(DA20:DD20)))</f>
        <v>43548.460718224684</v>
      </c>
      <c r="AC20" s="160">
        <f>IF($C20&gt;0,(IF($C20=$AC$7,$D20,0)),0)</f>
        <v>0</v>
      </c>
      <c r="AD20" s="150">
        <f>IF($C20&gt;0,(IF($AC$7&gt;=$C20+1,$E20,0)),0)</f>
        <v>0</v>
      </c>
      <c r="AE20" s="150">
        <f>IF($C20&gt;0,(IF($C20=$AC$7,$F20,0)),0)</f>
        <v>0</v>
      </c>
      <c r="AF20" s="165">
        <f>IF($C20&gt;0,(IF($AC$7&gt;=$C20+1,$G20,0)),0)</f>
        <v>0</v>
      </c>
      <c r="AG20" s="168">
        <f>IF($C20&gt;0,(IF($C20=$AG$7,(-FV(InflationRate,$AG$7,,$D20)),0)),0)</f>
        <v>0</v>
      </c>
      <c r="AH20" s="149">
        <f>IF($C20&gt;0,(IF($AG$7&gt;=$C20+1, (-FV(InflationRate,$AG$7,,$E20)), 0)),0)</f>
        <v>0</v>
      </c>
      <c r="AI20" s="149">
        <f>IF($C20&gt;0,(IF($AG$7&gt;=$C20+1, (-FV(InflationRate,$AG$7,,$F20)), 0)),0)</f>
        <v>0</v>
      </c>
      <c r="AJ20" s="171">
        <f>IF($C20&gt;0,(IF($AG$7&gt;=$C20+1, (-FV(InflationRate,$AG$7,,$G20)), 0)),0)</f>
        <v>0</v>
      </c>
      <c r="AK20" s="160">
        <f>IF($C20&gt;0,(IF($C20=$AK$7,(-FV(InflationRate,$AK$7,,$D20)),0)),0)</f>
        <v>0</v>
      </c>
      <c r="AL20" s="150">
        <f>IF($C20&gt;0,(IF($AK$7&gt;=$C20+1, (-FV(InflationRate,$AK$7,,$E20)), 0)),0)</f>
        <v>0</v>
      </c>
      <c r="AM20" s="150">
        <f>IF($C20&gt;0,(IF($AK$7&gt;=$C20+1, (-FV(InflationRate,$AK$7,,$F20)), 0)),0)</f>
        <v>0</v>
      </c>
      <c r="AN20" s="165">
        <f>IF($C20&gt;0,(IF($AK$7&gt;=$C20+1, (-FV(InflationRate,$AK$7,,$G20)), 0)),0)</f>
        <v>0</v>
      </c>
      <c r="AO20" s="168">
        <f>IF($C20&gt;0,(IF($C20=$AO$7,(-FV(InflationRate,$AO$7,,$D20)),0)),0)</f>
        <v>0</v>
      </c>
      <c r="AP20" s="149">
        <f>IF($C20&gt;0,(IF($AO$7&gt;=$C20+1, (-FV(InflationRate,$AO$7,,$E20)), 0)),0)</f>
        <v>0</v>
      </c>
      <c r="AQ20" s="149">
        <f>IF($C20&gt;0,(IF($AO$7&gt;=$C20+1, (-FV(InflationRate,$AO$7,,$F20)), 0)),0)</f>
        <v>36550.89860475</v>
      </c>
      <c r="AR20" s="157">
        <f>IF($C20&gt;0,(IF($AO$7&gt;=$C20+1, (-FV(InflationRate,$AO$7,,$G20)), 0)),0)</f>
        <v>0</v>
      </c>
      <c r="AS20" s="160">
        <f>IF($C20&gt;0,(IF($C20=$AS$7,(-FV(InflationRate,$AS$7,,$D20)),0)),0)</f>
        <v>0</v>
      </c>
      <c r="AT20" s="150">
        <f>IF($C20&gt;0,(IF($AS$7&gt;=$C20+1, (-FV(InflationRate,$AS$7,,$E20)), 0)),0)</f>
        <v>0</v>
      </c>
      <c r="AU20" s="150">
        <f>IF($C20&gt;0,(IF($AS$7&gt;=$C20+1, (-FV(InflationRate,$AS$7,,$F20)), 0)),0)</f>
        <v>37647.425562892495</v>
      </c>
      <c r="AV20" s="165">
        <f>IF($C20&gt;0,(IF($AS$7&gt;=$C20+1, (-FV(InflationRate,$AS$7,,$G20)), 0)),0)</f>
        <v>0</v>
      </c>
      <c r="AW20" s="168">
        <f>IF($C20&gt;0,(IF($C20=$AW$7,(-FV(InflationRate,$AW$7,,$D20)),0)),0)</f>
        <v>0</v>
      </c>
      <c r="AX20" s="149">
        <f>IF($C20&gt;0,(IF($AW$7&gt;=$C20+1, (-FV(InflationRate,$AW$7,,$E20)), 0)),0)</f>
        <v>0</v>
      </c>
      <c r="AY20" s="149">
        <f>IF($C20&gt;0,(IF($AW$7&gt;=$C20+1, (-FV(InflationRate,$AW$7,,$F20)), 0)),0)</f>
        <v>38776.84832977927</v>
      </c>
      <c r="AZ20" s="157">
        <f>IF($C20&gt;0,(IF($AW$7&gt;=$C20+1, (-FV(InflationRate,$AW$7,,$G20)), 0)),0)</f>
        <v>0</v>
      </c>
      <c r="BA20" s="160">
        <f>IF($C20&gt;0,(IF($C20=$BA$7,(-FV(InflationRate,$BA$7,,$D20)),0)),0)</f>
        <v>0</v>
      </c>
      <c r="BB20" s="150">
        <f>IF($C20&gt;0,(IF($BA$7&gt;=$C20+1, (-FV(InflationRate,$BA$7,,$E20)), 0)),0)</f>
        <v>0</v>
      </c>
      <c r="BC20" s="150">
        <f>IF($C20&gt;0,(IF($BA$7&gt;=$C20+1, (-FV(InflationRate,$BA$7,,$F20)), 0)),0)</f>
        <v>39940.153779672655</v>
      </c>
      <c r="BD20" s="176">
        <f>IF($C20&gt;0,(IF($BA$7&gt;=$C20+1, (-FV(InflationRate,$BA$7,,$G20)), 0)),0)</f>
        <v>0</v>
      </c>
      <c r="BE20" s="168">
        <f>IF($C20&gt;0,(IF($C20=$BE$7,(-FV(InflationRate,$BE$7,,$D20)),0)),0)</f>
        <v>0</v>
      </c>
      <c r="BF20" s="149">
        <f>IF($C20&gt;0,(IF($BE$7&gt;=$C20+1, (-FV(InflationRate,$BE$7,,$E20)), 0)),0)</f>
        <v>0</v>
      </c>
      <c r="BG20" s="149">
        <f>IF($C20&gt;0,(IF($BE$7&gt;=$C20+1, (-FV(InflationRate,$BE$7,,$F20)), 0)),0)</f>
        <v>41138.35839306283</v>
      </c>
      <c r="BH20" s="171">
        <f>IF($C20&gt;0,(IF($BE$7&gt;=$C20+1, (-FV(InflationRate,$BE$7,,$G20)), 0)),0)</f>
        <v>0</v>
      </c>
      <c r="BI20" s="160">
        <f>IF($C20&gt;0,(IF($C20=$BI$7,(-FV(InflationRate,$BI$7,,$D20)),0)),0)</f>
        <v>0</v>
      </c>
      <c r="BJ20" s="150">
        <f>IF($C20&gt;0,(IF($BI$7&gt;=$C20+1, (-FV(InflationRate,$BI$7,,$E20)), 0)),0)</f>
        <v>0</v>
      </c>
      <c r="BK20" s="150">
        <f>IF($C20&gt;0,(IF($BI$7&gt;=$C20+1, (-FV(InflationRate,$BI$7,,$F20)), 0)),0)</f>
        <v>42372.50914485471</v>
      </c>
      <c r="BL20" s="176">
        <f>IF($C20&gt;0,(IF($BI$7&gt;=$C20+1, (-FV(InflationRate,$BI$7,,$G20)), 0)),0)</f>
        <v>0</v>
      </c>
      <c r="BM20" s="168">
        <f>IF($C20&gt;0,(IF($C20=$BM$7,(-FV(InflationRate,$BM$7,,$D20)),0)),0)</f>
        <v>0</v>
      </c>
      <c r="BN20" s="149">
        <f>IF($C20&gt;0,(IF($BM$7&gt;=$C20+1, (-FV(InflationRate,$BM$7,,$E20)), 0)),0)</f>
        <v>0</v>
      </c>
      <c r="BO20" s="149">
        <f>IF($C20&gt;0,(IF($BM$7&gt;=$C20+1, (-FV(InflationRate,$BM$7,,$F20)), 0)),0)</f>
        <v>43643.684419200355</v>
      </c>
      <c r="BP20" s="157">
        <f>IF($C20&gt;0,(IF($BM$7&gt;=$C20+1, (-FV(InflationRate,$BM$7,,$G20)), 0)),0)</f>
        <v>0</v>
      </c>
      <c r="BQ20" s="160">
        <f>IF($C20&gt;0,(IF($C20=$BQ$7,(-FV(InflationRate,$BQ$7,,$D20)),0)),0)</f>
        <v>0</v>
      </c>
      <c r="BR20" s="150">
        <f>IF($C20&gt;0,(IF($BQ$7&gt;=$C20+1, (-FV(InflationRate,$BQ$7,,$E20)), 0)),0)</f>
        <v>0</v>
      </c>
      <c r="BS20" s="150">
        <f>IF($C20&gt;0,(IF($BQ$7&gt;=$C20+1, (-FV(InflationRate,$BQ$7,,$F20)), 0)),0)</f>
        <v>44952.994951776367</v>
      </c>
      <c r="BT20" s="176">
        <f>IF($C20&gt;0,(IF($BQ$7&gt;=$C20+1, (-FV(InflationRate,$BQ$7,,$G20)), 0)),0)</f>
        <v>0</v>
      </c>
      <c r="BU20" s="168">
        <f>IF($C20&gt;0,(IF($C20=$BU$7,(-FV(InflationRate,$BU$7,,$D20)),0)),0)</f>
        <v>0</v>
      </c>
      <c r="BV20" s="149">
        <f>IF($C20&gt;0,(IF($BU$7&gt;=$C20+1, (-FV(InflationRate,$BU$7,,$E20)), 0)),0)</f>
        <v>0</v>
      </c>
      <c r="BW20" s="149">
        <f>IF($C20&gt;0,(IF($BU$7&gt;=$C20+1, (-FV(InflationRate,$BU$7,,$F20)), 0)),0)</f>
        <v>46301.584800329649</v>
      </c>
      <c r="BX20" s="157">
        <f>IF($C20&gt;0,(IF($BU$7&gt;=$C20+1, (-FV(InflationRate,$BU$7,,$G20)), 0)),0)</f>
        <v>0</v>
      </c>
      <c r="BY20" s="160">
        <f>IF($C20&gt;0,(IF($C20=$BY$7,(-FV(InflationRate,$BY$7,,$D20)),0)),0)</f>
        <v>0</v>
      </c>
      <c r="BZ20" s="150">
        <f>IF($C20&gt;0,(IF($BY$7&gt;=$C20+1, (-FV(InflationRate,$BY$7,,$E20)), 0)),0)</f>
        <v>0</v>
      </c>
      <c r="CA20" s="150">
        <f>IF($C20&gt;0,(IF($BY$7&gt;=$C20+1, (-FV(InflationRate,$BY$7,,$F20)), 0)),0)</f>
        <v>47690.632344339538</v>
      </c>
      <c r="CB20" s="176">
        <f>IF($C20&gt;0,(IF($BY$7&gt;=$C20+1, (-FV(InflationRate,$BY$7,,$G20)), 0)),0)</f>
        <v>0</v>
      </c>
      <c r="CC20" s="168">
        <f>IF($C20&gt;0,(IF($C20=$CC$7,(-FV(InflationRate,$CC$7,,$D20)),0)),0)</f>
        <v>0</v>
      </c>
      <c r="CD20" s="149">
        <f>IF($C20&gt;0,(IF($CC$7&gt;=$C20+1, (-FV(InflationRate,$CC$7,,$E20)), 0)),0)</f>
        <v>0</v>
      </c>
      <c r="CE20" s="149">
        <f>IF($C20&gt;0,(IF($CC$7&gt;=$C20+1, (-FV(InflationRate,$CC$7,,$F20)), 0)),0)</f>
        <v>49121.35131466973</v>
      </c>
      <c r="CF20" s="157">
        <f>IF($C20&gt;0,(IF($CC$7&gt;=$C20+1, (-FV(InflationRate,$CC$7,,$G20)), 0)),0)</f>
        <v>0</v>
      </c>
      <c r="CG20" s="160">
        <f>IF($C20&gt;0,(IF($C20=$CG$7,(-FV(InflationRate,$CG$7,,$D20)),0)),0)</f>
        <v>0</v>
      </c>
      <c r="CH20" s="150">
        <f>IF($C20&gt;0,(IF($CG$7&gt;=$C20+1, (-FV(InflationRate,$CG$7,,$E20)), 0)),0)</f>
        <v>0</v>
      </c>
      <c r="CI20" s="150">
        <f>IF($C20&gt;0,(IF($CG$7&gt;=$C20+1, (-FV(InflationRate,$CG$7,,$F20)), 0)),0)</f>
        <v>50594.991854109823</v>
      </c>
      <c r="CJ20" s="176">
        <f>IF($C20&gt;0,(IF($CG$7&gt;=$C20+1, (-FV(InflationRate,$CG$7,,$G20)), 0)),0)</f>
        <v>0</v>
      </c>
      <c r="CK20" s="168">
        <f>IF($C20&gt;0,(IF($C20=$CK$7,(-FV(InflationRate,$CK$7,,$D20)),0)),0)</f>
        <v>0</v>
      </c>
      <c r="CL20" s="149">
        <f>IF($C20&gt;0,(IF($CK$7&gt;=$C20+1, (-FV(InflationRate,$CK$7,,$E20)), 0)),0)</f>
        <v>0</v>
      </c>
      <c r="CM20" s="149">
        <f>IF($C20&gt;0,(IF($CK$7&gt;=$C20+1, (-FV(InflationRate,$CK$7,,$F20)), 0)),0)</f>
        <v>52112.841609733114</v>
      </c>
      <c r="CN20" s="157">
        <f>IF($C20&gt;0,(IF($CK$7&gt;=$C20+1, (-FV(InflationRate,$CK$7,,$G20)), 0)),0)</f>
        <v>0</v>
      </c>
      <c r="CO20" s="160">
        <f>IF($C20&gt;0,(IF($C20=$CO$7,(-FV(InflationRate,$CO$7,,$D20)),0)),0)</f>
        <v>0</v>
      </c>
      <c r="CP20" s="150">
        <f>IF($C20&gt;0,(IF($CO$7&gt;=$C20+1, (-FV(InflationRate,$CO$7,,$E20)), 0)),0)</f>
        <v>0</v>
      </c>
      <c r="CQ20" s="150">
        <f>IF($C20&gt;0,(IF($CO$7&gt;=$C20+1, (-FV(InflationRate,$CO$7,,$F20)), 0)),0)</f>
        <v>53676.226858025104</v>
      </c>
      <c r="CR20" s="176">
        <f>IF($C20&gt;0,(IF($CO$7&gt;=$C20+1, (-FV(InflationRate,$CO$7,,$G20)), 0)),0)</f>
        <v>0</v>
      </c>
      <c r="CS20" s="168">
        <f>IF($C20&gt;0,(IF($C20=$CS$7,(-FV(InflationRate,$CS$7,,$D20)),0)),0)</f>
        <v>0</v>
      </c>
      <c r="CT20" s="149">
        <f>IF($C20&gt;0,(IF($CS$7&gt;=$C20+1, (-FV(InflationRate,$CS$7,,$E20)), 0)),0)</f>
        <v>0</v>
      </c>
      <c r="CU20" s="149">
        <f>IF($C20&gt;0,(IF($CS$7&gt;=$C20+1, (-FV(InflationRate,$CS$7,,$F20)), 0)),0)</f>
        <v>55286.513663765858</v>
      </c>
      <c r="CV20" s="157">
        <f>IF($C20&gt;0,(IF($CS$7&gt;=$C20+1, (-FV(InflationRate,$CS$7,,$G20)), 0)),0)</f>
        <v>0</v>
      </c>
      <c r="CW20" s="160">
        <f>IF($C20&gt;0,(IF($C20=$CW$7,(-FV(InflationRate,$CW$7,,$D20)),0)),0)</f>
        <v>0</v>
      </c>
      <c r="CX20" s="150">
        <f>IF($C20&gt;0,(IF($CW$7&gt;=$C20+1, (-FV(InflationRate,$CW$7,,$E20)), 0)),0)</f>
        <v>0</v>
      </c>
      <c r="CY20" s="150">
        <f>IF($C20&gt;0,(IF($CW$7&gt;=$C20+1, (-FV(InflationRate,$CW$7,,$F20)), 0)),0)</f>
        <v>56945.109073678832</v>
      </c>
      <c r="CZ20" s="176">
        <f>IF($C20&gt;0,(IF($CW$7&gt;=$C20+1, (-FV(InflationRate,$CW$7,,$G20)), 0)),0)</f>
        <v>0</v>
      </c>
      <c r="DA20" s="168">
        <f>IF($C20&gt;0,(IF($C20=$DA$7,(-FV(InflationRate,$DA$7,,$D20)),0)),0)</f>
        <v>0</v>
      </c>
      <c r="DB20" s="149">
        <f>IF($C20&gt;0,(IF($DA$7&gt;=$C20+1, (-FV(InflationRate,$DA$7,,$E20)), 0)),0)</f>
        <v>0</v>
      </c>
      <c r="DC20" s="149">
        <f>IF($C20&gt;0,(IF($DA$7&gt;=$C20+1, (-FV(InflationRate,$DA$7,,$F20)), 0)),0)</f>
        <v>58653.462345889195</v>
      </c>
      <c r="DD20" s="157">
        <f>IF($C20&gt;0,(IF($DA$7&gt;=$C20+1, (-FV(InflationRate,$DA$7,,$G20)), 0)),0)</f>
        <v>0</v>
      </c>
    </row>
    <row r="21" spans="2:108" ht="12.75" customHeight="1" x14ac:dyDescent="0.2">
      <c r="B21" s="182" t="s">
        <v>217</v>
      </c>
      <c r="C21" s="189"/>
      <c r="D21" s="168"/>
      <c r="E21" s="149"/>
      <c r="F21" s="149"/>
      <c r="G21" s="149"/>
      <c r="H21" s="168"/>
      <c r="I21" s="600"/>
      <c r="J21" s="600"/>
      <c r="K21" s="600"/>
      <c r="L21" s="600"/>
      <c r="M21" s="600"/>
      <c r="N21" s="600"/>
      <c r="O21" s="600"/>
      <c r="P21" s="600"/>
      <c r="Q21" s="600"/>
      <c r="R21" s="600"/>
      <c r="S21" s="600"/>
      <c r="T21" s="600"/>
      <c r="U21" s="600"/>
      <c r="V21" s="600"/>
      <c r="W21" s="600"/>
      <c r="X21" s="600"/>
      <c r="Y21" s="600"/>
      <c r="Z21" s="600"/>
      <c r="AA21" s="600"/>
      <c r="AB21" s="601"/>
      <c r="AC21" s="160"/>
      <c r="AD21" s="150"/>
      <c r="AE21" s="150"/>
      <c r="AF21" s="165"/>
      <c r="AG21" s="168"/>
      <c r="AH21" s="149"/>
      <c r="AI21" s="149"/>
      <c r="AJ21" s="171"/>
      <c r="AK21" s="160"/>
      <c r="AL21" s="150"/>
      <c r="AM21" s="150"/>
      <c r="AN21" s="165"/>
      <c r="AO21" s="168"/>
      <c r="AP21" s="149"/>
      <c r="AQ21" s="149"/>
      <c r="AR21" s="157"/>
      <c r="AS21" s="160"/>
      <c r="AT21" s="150"/>
      <c r="AU21" s="150"/>
      <c r="AV21" s="165"/>
      <c r="AW21" s="168"/>
      <c r="AX21" s="149"/>
      <c r="AY21" s="149"/>
      <c r="AZ21" s="157"/>
      <c r="BA21" s="160"/>
      <c r="BB21" s="150"/>
      <c r="BC21" s="150"/>
      <c r="BD21" s="176"/>
      <c r="BE21" s="168"/>
      <c r="BF21" s="149"/>
      <c r="BG21" s="149"/>
      <c r="BH21" s="171"/>
      <c r="BI21" s="160"/>
      <c r="BJ21" s="150"/>
      <c r="BK21" s="150"/>
      <c r="BL21" s="176"/>
      <c r="BM21" s="168"/>
      <c r="BN21" s="149"/>
      <c r="BO21" s="149"/>
      <c r="BP21" s="157"/>
      <c r="BQ21" s="160"/>
      <c r="BR21" s="150"/>
      <c r="BS21" s="150"/>
      <c r="BT21" s="176"/>
      <c r="BU21" s="168"/>
      <c r="BV21" s="149"/>
      <c r="BW21" s="149"/>
      <c r="BX21" s="157"/>
      <c r="BY21" s="160"/>
      <c r="BZ21" s="150"/>
      <c r="CA21" s="150"/>
      <c r="CB21" s="176"/>
      <c r="CC21" s="168"/>
      <c r="CD21" s="149"/>
      <c r="CE21" s="149"/>
      <c r="CF21" s="157"/>
      <c r="CG21" s="160"/>
      <c r="CH21" s="150"/>
      <c r="CI21" s="150"/>
      <c r="CJ21" s="176"/>
      <c r="CK21" s="168"/>
      <c r="CL21" s="149"/>
      <c r="CM21" s="149"/>
      <c r="CN21" s="157"/>
      <c r="CO21" s="160"/>
      <c r="CP21" s="150"/>
      <c r="CQ21" s="150"/>
      <c r="CR21" s="176"/>
      <c r="CS21" s="168"/>
      <c r="CT21" s="149"/>
      <c r="CU21" s="149"/>
      <c r="CV21" s="157"/>
      <c r="CW21" s="160"/>
      <c r="CX21" s="150"/>
      <c r="CY21" s="150"/>
      <c r="CZ21" s="176"/>
      <c r="DA21" s="168"/>
      <c r="DB21" s="149"/>
      <c r="DC21" s="149"/>
      <c r="DD21" s="157"/>
    </row>
    <row r="22" spans="2:108" ht="12.75" customHeight="1" x14ac:dyDescent="0.2">
      <c r="B22" s="183" t="s">
        <v>220</v>
      </c>
      <c r="C22" s="556"/>
      <c r="D22" s="557">
        <v>0</v>
      </c>
      <c r="E22" s="149"/>
      <c r="F22" s="149"/>
      <c r="G22" s="149"/>
      <c r="H22" s="168">
        <f>SUM(I22:AB22)</f>
        <v>0</v>
      </c>
      <c r="I22" s="610">
        <f>-PV(InterestRate,I$8,,(SUM(AC22:AF22)))</f>
        <v>0</v>
      </c>
      <c r="J22" s="610">
        <f>-PV(InterestRate,J$8,,(SUM(AG22:AJ22)))</f>
        <v>0</v>
      </c>
      <c r="K22" s="610">
        <f>-PV(InterestRate,K$8,,(SUM(AK22:AN22)))</f>
        <v>0</v>
      </c>
      <c r="L22" s="610">
        <f>-PV(InterestRate,L$8,,(SUM(AO22:AR22)))</f>
        <v>0</v>
      </c>
      <c r="M22" s="610">
        <f>-PV(InterestRate,M$8,,(SUM(AS22:AV22)))</f>
        <v>0</v>
      </c>
      <c r="N22" s="610">
        <f>-PV(InterestRate,N$8,,(SUM(AW22:AZ22)))</f>
        <v>0</v>
      </c>
      <c r="O22" s="610">
        <f>-PV(InterestRate,O$8,,(SUM(BA22:BD22)))</f>
        <v>0</v>
      </c>
      <c r="P22" s="610">
        <f>-PV(InterestRate,P$8,,(SUM(BE22:BH22)))</f>
        <v>0</v>
      </c>
      <c r="Q22" s="610">
        <f>-PV(InterestRate,Q$8,,(SUM(BI22:BL22)))</f>
        <v>0</v>
      </c>
      <c r="R22" s="610">
        <f>-PV(InterestRate,R$8,,(SUM(BM22:BP22)))</f>
        <v>0</v>
      </c>
      <c r="S22" s="610">
        <f>-PV(InterestRate,S$8,,(SUM(BQ22:BT22)))</f>
        <v>0</v>
      </c>
      <c r="T22" s="610">
        <f>-PV(InterestRate,T$8,,(SUM(BU22:BX22)))</f>
        <v>0</v>
      </c>
      <c r="U22" s="610">
        <f>-PV(InterestRate,U$8,,(SUM(BY22:CB22)))</f>
        <v>0</v>
      </c>
      <c r="V22" s="610">
        <f>-PV(InterestRate,V$8,,(SUM(CC22:CF22)))</f>
        <v>0</v>
      </c>
      <c r="W22" s="610">
        <f>-PV(InterestRate,W$8,,(SUM(CG22:CJ22)))</f>
        <v>0</v>
      </c>
      <c r="X22" s="610">
        <f>-PV(InterestRate,X$8,,(SUM(CK22:CN22)))</f>
        <v>0</v>
      </c>
      <c r="Y22" s="610">
        <f>-PV(InterestRate,Y$8,,(SUM(CO22:CR22)))</f>
        <v>0</v>
      </c>
      <c r="Z22" s="610">
        <f>-PV(InterestRate,Z$8,,(SUM(CS22:CV22)))</f>
        <v>0</v>
      </c>
      <c r="AA22" s="610">
        <f>-PV(InterestRate,AA$8,,(SUM(CW22:CZ22)))</f>
        <v>0</v>
      </c>
      <c r="AB22" s="611">
        <f>-PV(InterestRate,AB$8,,(SUM(DA22:DD22)))</f>
        <v>0</v>
      </c>
      <c r="AC22" s="160">
        <f>IF($C22&gt;0,(IF($C22=$AC$7,$D22,0)),0)</f>
        <v>0</v>
      </c>
      <c r="AD22" s="150">
        <f>IF($C22&gt;0,(IF($AC$7&gt;=$C22+1,$E22,0)),0)</f>
        <v>0</v>
      </c>
      <c r="AE22" s="150">
        <f>IF($C22&gt;0,(IF($C22=$AC$7,$F22,0)),0)</f>
        <v>0</v>
      </c>
      <c r="AF22" s="165">
        <f>IF($C22&gt;0,(IF($AC$7&gt;=$C22+1,$G22,0)),0)</f>
        <v>0</v>
      </c>
      <c r="AG22" s="168">
        <f>IF($C22&gt;0,(IF($C22=$AG$7,(-FV(InflationRate,$AG$7,,$D22)),0)),0)</f>
        <v>0</v>
      </c>
      <c r="AH22" s="149">
        <f>IF($C22&gt;0,(IF($AG$7&gt;=$C22+1, (-FV(InflationRate,$AG$7,,$E22)), 0)),0)</f>
        <v>0</v>
      </c>
      <c r="AI22" s="149">
        <f>IF($C22&gt;0,(IF($AG$7&gt;=$C22+1, (-FV(InflationRate,$AG$7,,$F22)), 0)),0)</f>
        <v>0</v>
      </c>
      <c r="AJ22" s="171">
        <f>IF($C22&gt;0,(IF($AG$7&gt;=$C22+1, (-FV(InflationRate,$AG$7,,$G22)), 0)),0)</f>
        <v>0</v>
      </c>
      <c r="AK22" s="160">
        <f>IF($C22&gt;0,(IF($C22=$AK$7,(-FV(InflationRate,$AK$7,,$D22)),0)),0)</f>
        <v>0</v>
      </c>
      <c r="AL22" s="150">
        <f>IF($C22&gt;0,(IF($AK$7&gt;=$C22+1, (-FV(InflationRate,$AK$7,,$E22)), 0)),0)</f>
        <v>0</v>
      </c>
      <c r="AM22" s="150">
        <f>IF($C22&gt;0,(IF($AK$7&gt;=$C22+1, (-FV(InflationRate,$AK$7,,$F22)), 0)),0)</f>
        <v>0</v>
      </c>
      <c r="AN22" s="165">
        <f>IF($C22&gt;0,(IF($AK$7&gt;=$C22+1, (-FV(InflationRate,$AK$7,,$G22)), 0)),0)</f>
        <v>0</v>
      </c>
      <c r="AO22" s="168">
        <f>IF($C22&gt;0,(IF($C22=$AO$7,(-FV(InflationRate,$AO$7,,$D22)),0)),0)</f>
        <v>0</v>
      </c>
      <c r="AP22" s="149">
        <f>IF($C22&gt;0,(IF($AO$7&gt;=$C22+1, (-FV(InflationRate,$AO$7,,$E22)), 0)),0)</f>
        <v>0</v>
      </c>
      <c r="AQ22" s="149">
        <f>IF($C22&gt;0,(IF($AO$7&gt;=$C22+1, (-FV(InflationRate,$AO$7,,$F22)), 0)),0)</f>
        <v>0</v>
      </c>
      <c r="AR22" s="157">
        <f>IF($C22&gt;0,(IF($AO$7&gt;=$C22+1, (-FV(InflationRate,$AO$7,,$G22)), 0)),0)</f>
        <v>0</v>
      </c>
      <c r="AS22" s="160">
        <f>IF($C22&gt;0,(IF($C22=$AS$7,(-FV(InflationRate,$AS$7,,$D22)),0)),0)</f>
        <v>0</v>
      </c>
      <c r="AT22" s="150">
        <f>IF($C22&gt;0,(IF($AS$7&gt;=$C22+1, (-FV(InflationRate,$AS$7,,$E22)), 0)),0)</f>
        <v>0</v>
      </c>
      <c r="AU22" s="150">
        <f>IF($C22&gt;0,(IF($AS$7&gt;=$C22+1, (-FV(InflationRate,$AS$7,,$F22)), 0)),0)</f>
        <v>0</v>
      </c>
      <c r="AV22" s="165">
        <f>IF($C22&gt;0,(IF($AS$7&gt;=$C22+1, (-FV(InflationRate,$AS$7,,$G22)), 0)),0)</f>
        <v>0</v>
      </c>
      <c r="AW22" s="168">
        <f>IF($C22&gt;0,(IF($C22=$AW$7,(-FV(InflationRate,$AW$7,,$D22)),0)),0)</f>
        <v>0</v>
      </c>
      <c r="AX22" s="149">
        <f>IF($C22&gt;0,(IF($AW$7&gt;=$C22+1, (-FV(InflationRate,$AW$7,,$E22)), 0)),0)</f>
        <v>0</v>
      </c>
      <c r="AY22" s="149">
        <f>IF($C22&gt;0,(IF($AW$7&gt;=$C22+1, (-FV(InflationRate,$AW$7,,$F22)), 0)),0)</f>
        <v>0</v>
      </c>
      <c r="AZ22" s="157">
        <f>IF($C22&gt;0,(IF($AW$7&gt;=$C22+1, (-FV(InflationRate,$AW$7,,$G22)), 0)),0)</f>
        <v>0</v>
      </c>
      <c r="BA22" s="160">
        <f>IF($C22&gt;0,(IF($C22=$BA$7,(-FV(InflationRate,$BA$7,,$D22)),0)),0)</f>
        <v>0</v>
      </c>
      <c r="BB22" s="150">
        <f>IF($C22&gt;0,(IF($BA$7&gt;=$C22+1, (-FV(InflationRate,$BA$7,,$E22)), 0)),0)</f>
        <v>0</v>
      </c>
      <c r="BC22" s="150">
        <f>IF($C22&gt;0,(IF($BA$7&gt;=$C22+1, (-FV(InflationRate,$BA$7,,$F22)), 0)),0)</f>
        <v>0</v>
      </c>
      <c r="BD22" s="176">
        <f>IF($C22&gt;0,(IF($BA$7&gt;=$C22+1, (-FV(InflationRate,$BA$7,,$G22)), 0)),0)</f>
        <v>0</v>
      </c>
      <c r="BE22" s="168">
        <f>IF($C22&gt;0,(IF($C22=$BE$7,(-FV(InflationRate,$BE$7,,$D22)),0)),0)</f>
        <v>0</v>
      </c>
      <c r="BF22" s="149">
        <f>IF($C22&gt;0,(IF($BE$7&gt;=$C22+1, (-FV(InflationRate,$BE$7,,$E22)), 0)),0)</f>
        <v>0</v>
      </c>
      <c r="BG22" s="149">
        <f>IF($C22&gt;0,(IF($BE$7&gt;=$C22+1, (-FV(InflationRate,$BE$7,,$F22)), 0)),0)</f>
        <v>0</v>
      </c>
      <c r="BH22" s="171">
        <f>IF($C22&gt;0,(IF($BE$7&gt;=$C22+1, (-FV(InflationRate,$BE$7,,$G22)), 0)),0)</f>
        <v>0</v>
      </c>
      <c r="BI22" s="160">
        <f>IF($C22&gt;0,(IF($C22=$BI$7,(-FV(InflationRate,$BI$7,,$D22)),0)),0)</f>
        <v>0</v>
      </c>
      <c r="BJ22" s="150">
        <f>IF($C22&gt;0,(IF($BI$7&gt;=$C22+1, (-FV(InflationRate,$BI$7,,$E22)), 0)),0)</f>
        <v>0</v>
      </c>
      <c r="BK22" s="150">
        <f>IF($C22&gt;0,(IF($BI$7&gt;=$C22+1, (-FV(InflationRate,$BI$7,,$F22)), 0)),0)</f>
        <v>0</v>
      </c>
      <c r="BL22" s="176">
        <f>IF($C22&gt;0,(IF($BI$7&gt;=$C22+1, (-FV(InflationRate,$BI$7,,$G22)), 0)),0)</f>
        <v>0</v>
      </c>
      <c r="BM22" s="168">
        <f>IF($C22&gt;0,(IF($C22=$BM$7,(-FV(InflationRate,$BM$7,,$D22)),0)),0)</f>
        <v>0</v>
      </c>
      <c r="BN22" s="149">
        <f>IF($C22&gt;0,(IF($BM$7&gt;=$C22+1, (-FV(InflationRate,$BM$7,,$E22)), 0)),0)</f>
        <v>0</v>
      </c>
      <c r="BO22" s="149">
        <f>IF($C22&gt;0,(IF($BM$7&gt;=$C22+1, (-FV(InflationRate,$BM$7,,$F22)), 0)),0)</f>
        <v>0</v>
      </c>
      <c r="BP22" s="157">
        <f>IF($C22&gt;0,(IF($BM$7&gt;=$C22+1, (-FV(InflationRate,$BM$7,,$G22)), 0)),0)</f>
        <v>0</v>
      </c>
      <c r="BQ22" s="160">
        <f>IF($C22&gt;0,(IF($C22=$BQ$7,(-FV(InflationRate,$BQ$7,,$D22)),0)),0)</f>
        <v>0</v>
      </c>
      <c r="BR22" s="150">
        <f>IF($C22&gt;0,(IF($BQ$7&gt;=$C22+1, (-FV(InflationRate,$BQ$7,,$E22)), 0)),0)</f>
        <v>0</v>
      </c>
      <c r="BS22" s="150">
        <f>IF($C22&gt;0,(IF($BQ$7&gt;=$C22+1, (-FV(InflationRate,$BQ$7,,$F22)), 0)),0)</f>
        <v>0</v>
      </c>
      <c r="BT22" s="176">
        <f>IF($C22&gt;0,(IF($BQ$7&gt;=$C22+1, (-FV(InflationRate,$BQ$7,,$G22)), 0)),0)</f>
        <v>0</v>
      </c>
      <c r="BU22" s="168">
        <f>IF($C22&gt;0,(IF($C22=$BU$7,(-FV(InflationRate,$BU$7,,$D22)),0)),0)</f>
        <v>0</v>
      </c>
      <c r="BV22" s="149">
        <f>IF($C22&gt;0,(IF($BU$7&gt;=$C22+1, (-FV(InflationRate,$BU$7,,$E22)), 0)),0)</f>
        <v>0</v>
      </c>
      <c r="BW22" s="149">
        <f>IF($C22&gt;0,(IF($BU$7&gt;=$C22+1, (-FV(InflationRate,$BU$7,,$F22)), 0)),0)</f>
        <v>0</v>
      </c>
      <c r="BX22" s="157">
        <f>IF($C22&gt;0,(IF($BU$7&gt;=$C22+1, (-FV(InflationRate,$BU$7,,$G22)), 0)),0)</f>
        <v>0</v>
      </c>
      <c r="BY22" s="160">
        <f>IF($C22&gt;0,(IF($C22=$BY$7,(-FV(InflationRate,$BY$7,,$D22)),0)),0)</f>
        <v>0</v>
      </c>
      <c r="BZ22" s="150">
        <f>IF($C22&gt;0,(IF($BY$7&gt;=$C22+1, (-FV(InflationRate,$BY$7,,$E22)), 0)),0)</f>
        <v>0</v>
      </c>
      <c r="CA22" s="150">
        <f>IF($C22&gt;0,(IF($BY$7&gt;=$C22+1, (-FV(InflationRate,$BY$7,,$F22)), 0)),0)</f>
        <v>0</v>
      </c>
      <c r="CB22" s="176">
        <f>IF($C22&gt;0,(IF($BY$7&gt;=$C22+1, (-FV(InflationRate,$BY$7,,$G22)), 0)),0)</f>
        <v>0</v>
      </c>
      <c r="CC22" s="168">
        <f>IF($C22&gt;0,(IF($C22=$CC$7,(-FV(InflationRate,$CC$7,,$D22)),0)),0)</f>
        <v>0</v>
      </c>
      <c r="CD22" s="149">
        <f>IF($C22&gt;0,(IF($CC$7&gt;=$C22+1, (-FV(InflationRate,$CC$7,,$E22)), 0)),0)</f>
        <v>0</v>
      </c>
      <c r="CE22" s="149">
        <f>IF($C22&gt;0,(IF($CC$7&gt;=$C22+1, (-FV(InflationRate,$CC$7,,$F22)), 0)),0)</f>
        <v>0</v>
      </c>
      <c r="CF22" s="157">
        <f>IF($C22&gt;0,(IF($CC$7&gt;=$C22+1, (-FV(InflationRate,$CC$7,,$G22)), 0)),0)</f>
        <v>0</v>
      </c>
      <c r="CG22" s="160">
        <f>IF($C22&gt;0,(IF($C22=$CG$7,(-FV(InflationRate,$CG$7,,$D22)),0)),0)</f>
        <v>0</v>
      </c>
      <c r="CH22" s="150">
        <f>IF($C22&gt;0,(IF($CG$7&gt;=$C22+1, (-FV(InflationRate,$CG$7,,$E22)), 0)),0)</f>
        <v>0</v>
      </c>
      <c r="CI22" s="150">
        <f>IF($C22&gt;0,(IF($CG$7&gt;=$C22+1, (-FV(InflationRate,$CG$7,,$F22)), 0)),0)</f>
        <v>0</v>
      </c>
      <c r="CJ22" s="176">
        <f>IF($C22&gt;0,(IF($CG$7&gt;=$C22+1, (-FV(InflationRate,$CG$7,,$G22)), 0)),0)</f>
        <v>0</v>
      </c>
      <c r="CK22" s="168">
        <f>IF($C22&gt;0,(IF($C22=$CK$7,(-FV(InflationRate,$CK$7,,$D22)),0)),0)</f>
        <v>0</v>
      </c>
      <c r="CL22" s="149">
        <f>IF($C22&gt;0,(IF($CK$7&gt;=$C22+1, (-FV(InflationRate,$CK$7,,$E22)), 0)),0)</f>
        <v>0</v>
      </c>
      <c r="CM22" s="149">
        <f>IF($C22&gt;0,(IF($CK$7&gt;=$C22+1, (-FV(InflationRate,$CK$7,,$F22)), 0)),0)</f>
        <v>0</v>
      </c>
      <c r="CN22" s="157">
        <f>IF($C22&gt;0,(IF($CK$7&gt;=$C22+1, (-FV(InflationRate,$CK$7,,$G22)), 0)),0)</f>
        <v>0</v>
      </c>
      <c r="CO22" s="160">
        <f>IF($C22&gt;0,(IF($C22=$CO$7,(-FV(InflationRate,$CO$7,,$D22)),0)),0)</f>
        <v>0</v>
      </c>
      <c r="CP22" s="150">
        <f>IF($C22&gt;0,(IF($CO$7&gt;=$C22+1, (-FV(InflationRate,$CO$7,,$E22)), 0)),0)</f>
        <v>0</v>
      </c>
      <c r="CQ22" s="150">
        <f>IF($C22&gt;0,(IF($CO$7&gt;=$C22+1, (-FV(InflationRate,$CO$7,,$F22)), 0)),0)</f>
        <v>0</v>
      </c>
      <c r="CR22" s="176">
        <f>IF($C22&gt;0,(IF($CO$7&gt;=$C22+1, (-FV(InflationRate,$CO$7,,$G22)), 0)),0)</f>
        <v>0</v>
      </c>
      <c r="CS22" s="168">
        <f>IF($C22&gt;0,(IF($C22=$CS$7,(-FV(InflationRate,$CS$7,,$D22)),0)),0)</f>
        <v>0</v>
      </c>
      <c r="CT22" s="149">
        <f>IF($C22&gt;0,(IF($CS$7&gt;=$C22+1, (-FV(InflationRate,$CS$7,,$E22)), 0)),0)</f>
        <v>0</v>
      </c>
      <c r="CU22" s="149">
        <f>IF($C22&gt;0,(IF($CS$7&gt;=$C22+1, (-FV(InflationRate,$CS$7,,$F22)), 0)),0)</f>
        <v>0</v>
      </c>
      <c r="CV22" s="157">
        <f>IF($C22&gt;0,(IF($CS$7&gt;=$C22+1, (-FV(InflationRate,$CS$7,,$G22)), 0)),0)</f>
        <v>0</v>
      </c>
      <c r="CW22" s="160">
        <f>IF($C22&gt;0,(IF($C22=$CW$7,(-FV(InflationRate,$CW$7,,$D22)),0)),0)</f>
        <v>0</v>
      </c>
      <c r="CX22" s="150">
        <f>IF($C22&gt;0,(IF($CW$7&gt;=$C22+1, (-FV(InflationRate,$CW$7,,$E22)), 0)),0)</f>
        <v>0</v>
      </c>
      <c r="CY22" s="150">
        <f>IF($C22&gt;0,(IF($CW$7&gt;=$C22+1, (-FV(InflationRate,$CW$7,,$F22)), 0)),0)</f>
        <v>0</v>
      </c>
      <c r="CZ22" s="176">
        <f>IF($C22&gt;0,(IF($CW$7&gt;=$C22+1, (-FV(InflationRate,$CW$7,,$G22)), 0)),0)</f>
        <v>0</v>
      </c>
      <c r="DA22" s="168">
        <f>IF($C22&gt;0,(IF($C22=$DA$7,(-FV(InflationRate,$DA$7,,$D22)),0)),0)</f>
        <v>0</v>
      </c>
      <c r="DB22" s="149">
        <f>IF($C22&gt;0,(IF($DA$7&gt;=$C22+1, (-FV(InflationRate,$DA$7,,$E22)), 0)),0)</f>
        <v>0</v>
      </c>
      <c r="DC22" s="149">
        <f>IF($C22&gt;0,(IF($DA$7&gt;=$C22+1, (-FV(InflationRate,$DA$7,,$F22)), 0)),0)</f>
        <v>0</v>
      </c>
      <c r="DD22" s="157">
        <f>IF($C22&gt;0,(IF($DA$7&gt;=$C22+1, (-FV(InflationRate,$DA$7,,$G22)), 0)),0)</f>
        <v>0</v>
      </c>
    </row>
    <row r="23" spans="2:108" ht="12.75" customHeight="1" x14ac:dyDescent="0.2">
      <c r="B23" s="183" t="s">
        <v>270</v>
      </c>
      <c r="C23" s="556">
        <v>5</v>
      </c>
      <c r="D23" s="557">
        <v>5395650</v>
      </c>
      <c r="E23" s="558">
        <v>65350</v>
      </c>
      <c r="F23" s="149"/>
      <c r="G23" s="558">
        <v>2975</v>
      </c>
      <c r="H23" s="168">
        <f>SUM(I23:AB23)</f>
        <v>7049008.4750503441</v>
      </c>
      <c r="I23" s="610">
        <f>-PV(InterestRate,I$8,,(SUM(AC23:AF23)))</f>
        <v>0</v>
      </c>
      <c r="J23" s="610">
        <f>-PV(InterestRate,J$8,,(SUM(AG23:AJ23)))</f>
        <v>0</v>
      </c>
      <c r="K23" s="610">
        <f>-PV(InterestRate,K$8,,(SUM(AK23:AN23)))</f>
        <v>0</v>
      </c>
      <c r="L23" s="610">
        <f>-PV(InterestRate,L$8,,(SUM(AO23:AR23)))</f>
        <v>0</v>
      </c>
      <c r="M23" s="610">
        <f>-PV(InterestRate,M$8,,(SUM(AS23:AV23)))</f>
        <v>5806302.8286347343</v>
      </c>
      <c r="N23" s="610">
        <f>-PV(InterestRate,N$8,,(SUM(AW23:AZ23)))</f>
        <v>74611.665598612773</v>
      </c>
      <c r="O23" s="610">
        <f>-PV(InterestRate,O$8,,(SUM(BA23:BD23)))</f>
        <v>75714.301050809037</v>
      </c>
      <c r="P23" s="610">
        <f>-PV(InterestRate,P$8,,(SUM(BE23:BH23)))</f>
        <v>76833.231608210146</v>
      </c>
      <c r="Q23" s="610">
        <f>-PV(InterestRate,Q$8,,(SUM(BI23:BL23)))</f>
        <v>77968.698085178796</v>
      </c>
      <c r="R23" s="610">
        <f>-PV(InterestRate,R$8,,(SUM(BM23:BP23)))</f>
        <v>79120.9448549105</v>
      </c>
      <c r="S23" s="610">
        <f>-PV(InterestRate,S$8,,(SUM(BQ23:BT23)))</f>
        <v>80290.219902027413</v>
      </c>
      <c r="T23" s="610">
        <f>-PV(InterestRate,T$8,,(SUM(BU23:BX23)))</f>
        <v>81476.774875949006</v>
      </c>
      <c r="U23" s="610">
        <f>-PV(InterestRate,U$8,,(SUM(BY23:CB23)))</f>
        <v>82680.865145051706</v>
      </c>
      <c r="V23" s="610">
        <f>-PV(InterestRate,V$8,,(SUM(CC23:CF23)))</f>
        <v>83902.749851628862</v>
      </c>
      <c r="W23" s="610">
        <f>-PV(InterestRate,W$8,,(SUM(CG23:CJ23)))</f>
        <v>85142.691967662802</v>
      </c>
      <c r="X23" s="610">
        <f>-PV(InterestRate,X$8,,(SUM(CK23:CN23)))</f>
        <v>86400.958351421374</v>
      </c>
      <c r="Y23" s="610">
        <f>-PV(InterestRate,Y$8,,(SUM(CO23:CR23)))</f>
        <v>87677.819804890649</v>
      </c>
      <c r="Z23" s="610">
        <f>-PV(InterestRate,Z$8,,(SUM(CS23:CV23)))</f>
        <v>88973.551132056542</v>
      </c>
      <c r="AA23" s="610">
        <f>-PV(InterestRate,AA$8,,(SUM(CW23:CZ23)))</f>
        <v>90288.431198047518</v>
      </c>
      <c r="AB23" s="611">
        <f>-PV(InterestRate,AB$8,,(SUM(DA23:DD23)))</f>
        <v>91622.742989151695</v>
      </c>
      <c r="AC23" s="160">
        <f>IF($C23&gt;0,(IF($C23=$AC$7,$D23,0)),0)</f>
        <v>0</v>
      </c>
      <c r="AD23" s="150">
        <f>IF($C23&gt;0,(IF($AC$7&gt;=$C23+1,$E23,0)),0)</f>
        <v>0</v>
      </c>
      <c r="AE23" s="150">
        <f>IF($C23&gt;0,(IF($C23=$AC$7,$F23,0)),0)</f>
        <v>0</v>
      </c>
      <c r="AF23" s="165">
        <f>IF($C23&gt;0,(IF($AC$7&gt;=$C23+1,$G23,0)),0)</f>
        <v>0</v>
      </c>
      <c r="AG23" s="168">
        <f>IF($C23&gt;0,(IF($C23=$AG$7,(-FV(InflationRate,$AG$7,,$D23)),0)),0)</f>
        <v>0</v>
      </c>
      <c r="AH23" s="149">
        <f>IF($C23&gt;0,(IF($AG$7&gt;=$C23+1, (-FV(InflationRate,$AG$7,,$E23)), 0)),0)</f>
        <v>0</v>
      </c>
      <c r="AI23" s="149">
        <f>IF($C23&gt;0,(IF($AG$7&gt;=$C23+1, (-FV(InflationRate,$AG$7,,$F23)), 0)),0)</f>
        <v>0</v>
      </c>
      <c r="AJ23" s="171">
        <f>IF($C23&gt;0,(IF($AG$7&gt;=$C23+1, (-FV(InflationRate,$AG$7,,$G23)), 0)),0)</f>
        <v>0</v>
      </c>
      <c r="AK23" s="160">
        <f>IF($C23&gt;0,(IF($C23=$AK$7,(-FV(InflationRate,$AK$7,,$D23)),0)),0)</f>
        <v>0</v>
      </c>
      <c r="AL23" s="150">
        <f>IF($C23&gt;0,(IF($AK$7&gt;=$C23+1, (-FV(InflationRate,$AK$7,,$E23)), 0)),0)</f>
        <v>0</v>
      </c>
      <c r="AM23" s="150">
        <f>IF($C23&gt;0,(IF($AK$7&gt;=$C23+1, (-FV(InflationRate,$AK$7,,$F23)), 0)),0)</f>
        <v>0</v>
      </c>
      <c r="AN23" s="165">
        <f>IF($C23&gt;0,(IF($AK$7&gt;=$C23+1, (-FV(InflationRate,$AK$7,,$G23)), 0)),0)</f>
        <v>0</v>
      </c>
      <c r="AO23" s="168">
        <f>IF($C23&gt;0,(IF($C23=$AO$7,(-FV(InflationRate,$AO$7,,$D23)),0)),0)</f>
        <v>0</v>
      </c>
      <c r="AP23" s="149">
        <f>IF($C23&gt;0,(IF($AO$7&gt;=$C23+1, (-FV(InflationRate,$AO$7,,$E23)), 0)),0)</f>
        <v>0</v>
      </c>
      <c r="AQ23" s="149">
        <f>IF($C23&gt;0,(IF($AO$7&gt;=$C23+1, (-FV(InflationRate,$AO$7,,$F23)), 0)),0)</f>
        <v>0</v>
      </c>
      <c r="AR23" s="157">
        <f>IF($C23&gt;0,(IF($AO$7&gt;=$C23+1, (-FV(InflationRate,$AO$7,,$G23)), 0)),0)</f>
        <v>0</v>
      </c>
      <c r="AS23" s="160">
        <f>IF($C23&gt;0,(IF($C23=$AS$7,(-FV(InflationRate,$AS$7,,$D23)),0)),0)</f>
        <v>6255037.1589967944</v>
      </c>
      <c r="AT23" s="150">
        <f>IF($C23&gt;0,(IF($AS$7&gt;=$C23+1, (-FV(InflationRate,$AS$7,,$E23)), 0)),0)</f>
        <v>0</v>
      </c>
      <c r="AU23" s="150">
        <f>IF($C23&gt;0,(IF($AS$7&gt;=$C23+1, (-FV(InflationRate,$AS$7,,$F23)), 0)),0)</f>
        <v>0</v>
      </c>
      <c r="AV23" s="165">
        <f>IF($C23&gt;0,(IF($AS$7&gt;=$C23+1, (-FV(InflationRate,$AS$7,,$G23)), 0)),0)</f>
        <v>0</v>
      </c>
      <c r="AW23" s="168">
        <f>IF($C23&gt;0,(IF($C23=$AW$7,(-FV(InflationRate,$AW$7,,$D23)),0)),0)</f>
        <v>0</v>
      </c>
      <c r="AX23" s="149">
        <f>IF($C23&gt;0,(IF($AW$7&gt;=$C23+1, (-FV(InflationRate,$AW$7,,$E23)), 0)),0)</f>
        <v>78031.317578170143</v>
      </c>
      <c r="AY23" s="149">
        <f>IF($C23&gt;0,(IF($AW$7&gt;=$C23+1, (-FV(InflationRate,$AW$7,,$F23)), 0)),0)</f>
        <v>0</v>
      </c>
      <c r="AZ23" s="157">
        <f>IF($C23&gt;0,(IF($AW$7&gt;=$C23+1, (-FV(InflationRate,$AW$7,,$G23)), 0)),0)</f>
        <v>3552.3055821737748</v>
      </c>
      <c r="BA23" s="160">
        <f>IF($C23&gt;0,(IF($C23=$BA$7,(-FV(InflationRate,$BA$7,,$D23)),0)),0)</f>
        <v>0</v>
      </c>
      <c r="BB23" s="150">
        <f>IF($C23&gt;0,(IF($BA$7&gt;=$C23+1, (-FV(InflationRate,$BA$7,,$E23)), 0)),0)</f>
        <v>80372.257105515251</v>
      </c>
      <c r="BC23" s="150">
        <f>IF($C23&gt;0,(IF($BA$7&gt;=$C23+1, (-FV(InflationRate,$BA$7,,$F23)), 0)),0)</f>
        <v>0</v>
      </c>
      <c r="BD23" s="176">
        <f>IF($C23&gt;0,(IF($BA$7&gt;=$C23+1, (-FV(InflationRate,$BA$7,,$G23)), 0)),0)</f>
        <v>3658.8747496389883</v>
      </c>
      <c r="BE23" s="168">
        <f>IF($C23&gt;0,(IF($C23=$BE$7,(-FV(InflationRate,$BE$7,,$D23)),0)),0)</f>
        <v>0</v>
      </c>
      <c r="BF23" s="149">
        <f>IF($C23&gt;0,(IF($BE$7&gt;=$C23+1, (-FV(InflationRate,$BE$7,,$E23)), 0)),0)</f>
        <v>82783.424818680694</v>
      </c>
      <c r="BG23" s="149">
        <f>IF($C23&gt;0,(IF($BE$7&gt;=$C23+1, (-FV(InflationRate,$BE$7,,$F23)), 0)),0)</f>
        <v>0</v>
      </c>
      <c r="BH23" s="171">
        <f>IF($C23&gt;0,(IF($BE$7&gt;=$C23+1, (-FV(InflationRate,$BE$7,,$G23)), 0)),0)</f>
        <v>3768.6409921281574</v>
      </c>
      <c r="BI23" s="160">
        <f>IF($C23&gt;0,(IF($C23=$BI$7,(-FV(InflationRate,$BI$7,,$D23)),0)),0)</f>
        <v>0</v>
      </c>
      <c r="BJ23" s="150">
        <f>IF($C23&gt;0,(IF($BI$7&gt;=$C23+1, (-FV(InflationRate,$BI$7,,$E23)), 0)),0)</f>
        <v>85266.92756324113</v>
      </c>
      <c r="BK23" s="150">
        <f>IF($C23&gt;0,(IF($BI$7&gt;=$C23+1, (-FV(InflationRate,$BI$7,,$F23)), 0)),0)</f>
        <v>0</v>
      </c>
      <c r="BL23" s="176">
        <f>IF($C23&gt;0,(IF($BI$7&gt;=$C23+1, (-FV(InflationRate,$BI$7,,$G23)), 0)),0)</f>
        <v>3881.7002218920024</v>
      </c>
      <c r="BM23" s="168">
        <f>IF($C23&gt;0,(IF($C23=$BM$7,(-FV(InflationRate,$BM$7,,$D23)),0)),0)</f>
        <v>0</v>
      </c>
      <c r="BN23" s="149">
        <f>IF($C23&gt;0,(IF($BM$7&gt;=$C23+1, (-FV(InflationRate,$BM$7,,$E23)), 0)),0)</f>
        <v>87824.935390138358</v>
      </c>
      <c r="BO23" s="149">
        <f>IF($C23&gt;0,(IF($BM$7&gt;=$C23+1, (-FV(InflationRate,$BM$7,,$F23)), 0)),0)</f>
        <v>0</v>
      </c>
      <c r="BP23" s="157">
        <f>IF($C23&gt;0,(IF($BM$7&gt;=$C23+1, (-FV(InflationRate,$BM$7,,$G23)), 0)),0)</f>
        <v>3998.1512285487624</v>
      </c>
      <c r="BQ23" s="160">
        <f>IF($C23&gt;0,(IF($C23=$BQ$7,(-FV(InflationRate,$BQ$7,,$D23)),0)),0)</f>
        <v>0</v>
      </c>
      <c r="BR23" s="150">
        <f>IF($C23&gt;0,(IF($BQ$7&gt;=$C23+1, (-FV(InflationRate,$BQ$7,,$E23)), 0)),0)</f>
        <v>90459.683451842517</v>
      </c>
      <c r="BS23" s="150">
        <f>IF($C23&gt;0,(IF($BQ$7&gt;=$C23+1, (-FV(InflationRate,$BQ$7,,$F23)), 0)),0)</f>
        <v>0</v>
      </c>
      <c r="BT23" s="176">
        <f>IF($C23&gt;0,(IF($BQ$7&gt;=$C23+1, (-FV(InflationRate,$BQ$7,,$G23)), 0)),0)</f>
        <v>4118.0957654052254</v>
      </c>
      <c r="BU23" s="168">
        <f>IF($C23&gt;0,(IF($C23=$BU$7,(-FV(InflationRate,$BU$7,,$D23)),0)),0)</f>
        <v>0</v>
      </c>
      <c r="BV23" s="149">
        <f>IF($C23&gt;0,(IF($BU$7&gt;=$C23+1, (-FV(InflationRate,$BU$7,,$E23)), 0)),0)</f>
        <v>93173.473955397771</v>
      </c>
      <c r="BW23" s="149">
        <f>IF($C23&gt;0,(IF($BU$7&gt;=$C23+1, (-FV(InflationRate,$BU$7,,$F23)), 0)),0)</f>
        <v>0</v>
      </c>
      <c r="BX23" s="157">
        <f>IF($C23&gt;0,(IF($BU$7&gt;=$C23+1, (-FV(InflationRate,$BU$7,,$G23)), 0)),0)</f>
        <v>4241.6386383673816</v>
      </c>
      <c r="BY23" s="160">
        <f>IF($C23&gt;0,(IF($C23=$BY$7,(-FV(InflationRate,$BY$7,,$D23)),0)),0)</f>
        <v>0</v>
      </c>
      <c r="BZ23" s="150">
        <f>IF($C23&gt;0,(IF($BY$7&gt;=$C23+1, (-FV(InflationRate,$BY$7,,$E23)), 0)),0)</f>
        <v>95968.678174059707</v>
      </c>
      <c r="CA23" s="150">
        <f>IF($C23&gt;0,(IF($BY$7&gt;=$C23+1, (-FV(InflationRate,$BY$7,,$F23)), 0)),0)</f>
        <v>0</v>
      </c>
      <c r="CB23" s="176">
        <f>IF($C23&gt;0,(IF($BY$7&gt;=$C23+1, (-FV(InflationRate,$BY$7,,$G23)), 0)),0)</f>
        <v>4368.8877975184023</v>
      </c>
      <c r="CC23" s="168">
        <f>IF($C23&gt;0,(IF($C23=$CC$7,(-FV(InflationRate,$CC$7,,$D23)),0)),0)</f>
        <v>0</v>
      </c>
      <c r="CD23" s="149">
        <f>IF($C23&gt;0,(IF($CC$7&gt;=$C23+1, (-FV(InflationRate,$CC$7,,$E23)), 0)),0)</f>
        <v>98847.738519281498</v>
      </c>
      <c r="CE23" s="149">
        <f>IF($C23&gt;0,(IF($CC$7&gt;=$C23+1, (-FV(InflationRate,$CC$7,,$F23)), 0)),0)</f>
        <v>0</v>
      </c>
      <c r="CF23" s="157">
        <f>IF($C23&gt;0,(IF($CC$7&gt;=$C23+1, (-FV(InflationRate,$CC$7,,$G23)), 0)),0)</f>
        <v>4499.9544314439554</v>
      </c>
      <c r="CG23" s="160">
        <f>IF($C23&gt;0,(IF($C23=$CG$7,(-FV(InflationRate,$CG$7,,$D23)),0)),0)</f>
        <v>0</v>
      </c>
      <c r="CH23" s="150">
        <f>IF($C23&gt;0,(IF($CG$7&gt;=$C23+1, (-FV(InflationRate,$CG$7,,$E23)), 0)),0)</f>
        <v>101813.17067485995</v>
      </c>
      <c r="CI23" s="150">
        <f>IF($C23&gt;0,(IF($CG$7&gt;=$C23+1, (-FV(InflationRate,$CG$7,,$F23)), 0)),0)</f>
        <v>0</v>
      </c>
      <c r="CJ23" s="176">
        <f>IF($C23&gt;0,(IF($CG$7&gt;=$C23+1, (-FV(InflationRate,$CG$7,,$G23)), 0)),0)</f>
        <v>4634.953064387274</v>
      </c>
      <c r="CK23" s="168">
        <f>IF($C23&gt;0,(IF($C23=$CK$7,(-FV(InflationRate,$CK$7,,$D23)),0)),0)</f>
        <v>0</v>
      </c>
      <c r="CL23" s="149">
        <f>IF($C23&gt;0,(IF($CK$7&gt;=$C23+1, (-FV(InflationRate,$CK$7,,$E23)), 0)),0)</f>
        <v>104867.56579510574</v>
      </c>
      <c r="CM23" s="149">
        <f>IF($C23&gt;0,(IF($CK$7&gt;=$C23+1, (-FV(InflationRate,$CK$7,,$F23)), 0)),0)</f>
        <v>0</v>
      </c>
      <c r="CN23" s="157">
        <f>IF($C23&gt;0,(IF($CK$7&gt;=$C23+1, (-FV(InflationRate,$CK$7,,$G23)), 0)),0)</f>
        <v>4774.0016563188919</v>
      </c>
      <c r="CO23" s="160">
        <f>IF($C23&gt;0,(IF($C23=$CO$7,(-FV(InflationRate,$CO$7,,$D23)),0)),0)</f>
        <v>0</v>
      </c>
      <c r="CP23" s="150">
        <f>IF($C23&gt;0,(IF($CO$7&gt;=$C23+1, (-FV(InflationRate,$CO$7,,$E23)), 0)),0)</f>
        <v>108013.5927689589</v>
      </c>
      <c r="CQ23" s="150">
        <f>IF($C23&gt;0,(IF($CO$7&gt;=$C23+1, (-FV(InflationRate,$CO$7,,$F23)), 0)),0)</f>
        <v>0</v>
      </c>
      <c r="CR23" s="176">
        <f>IF($C23&gt;0,(IF($CO$7&gt;=$C23+1, (-FV(InflationRate,$CO$7,,$G23)), 0)),0)</f>
        <v>4917.2217060084586</v>
      </c>
      <c r="CS23" s="168">
        <f>IF($C23&gt;0,(IF($C23=$CS$7,(-FV(InflationRate,$CS$7,,$D23)),0)),0)</f>
        <v>0</v>
      </c>
      <c r="CT23" s="149">
        <f>IF($C23&gt;0,(IF($CS$7&gt;=$C23+1, (-FV(InflationRate,$CS$7,,$E23)), 0)),0)</f>
        <v>111254.00055202768</v>
      </c>
      <c r="CU23" s="149">
        <f>IF($C23&gt;0,(IF($CS$7&gt;=$C23+1, (-FV(InflationRate,$CS$7,,$F23)), 0)),0)</f>
        <v>0</v>
      </c>
      <c r="CV23" s="157">
        <f>IF($C23&gt;0,(IF($CS$7&gt;=$C23+1, (-FV(InflationRate,$CS$7,,$G23)), 0)),0)</f>
        <v>5064.7383571887121</v>
      </c>
      <c r="CW23" s="160">
        <f>IF($C23&gt;0,(IF($C23=$CW$7,(-FV(InflationRate,$CW$7,,$D23)),0)),0)</f>
        <v>0</v>
      </c>
      <c r="CX23" s="150">
        <f>IF($C23&gt;0,(IF($CW$7&gt;=$C23+1, (-FV(InflationRate,$CW$7,,$E23)), 0)),0)</f>
        <v>114591.62056858851</v>
      </c>
      <c r="CY23" s="150">
        <f>IF($C23&gt;0,(IF($CW$7&gt;=$C23+1, (-FV(InflationRate,$CW$7,,$F23)), 0)),0)</f>
        <v>0</v>
      </c>
      <c r="CZ23" s="176">
        <f>IF($C23&gt;0,(IF($CW$7&gt;=$C23+1, (-FV(InflationRate,$CW$7,,$G23)), 0)),0)</f>
        <v>5216.6805079043734</v>
      </c>
      <c r="DA23" s="168">
        <f>IF($C23&gt;0,(IF($C23=$DA$7,(-FV(InflationRate,$DA$7,,$D23)),0)),0)</f>
        <v>0</v>
      </c>
      <c r="DB23" s="149">
        <f>IF($C23&gt;0,(IF($DA$7&gt;=$C23+1, (-FV(InflationRate,$DA$7,,$E23)), 0)),0)</f>
        <v>118029.36918564615</v>
      </c>
      <c r="DC23" s="149">
        <f>IF($C23&gt;0,(IF($DA$7&gt;=$C23+1, (-FV(InflationRate,$DA$7,,$F23)), 0)),0)</f>
        <v>0</v>
      </c>
      <c r="DD23" s="157">
        <f>IF($C23&gt;0,(IF($DA$7&gt;=$C23+1, (-FV(InflationRate,$DA$7,,$G23)), 0)),0)</f>
        <v>5373.1809231415045</v>
      </c>
    </row>
    <row r="24" spans="2:108" ht="12.75" customHeight="1" x14ac:dyDescent="0.2">
      <c r="B24" s="183" t="s">
        <v>203</v>
      </c>
      <c r="C24" s="556">
        <v>5</v>
      </c>
      <c r="D24" s="168"/>
      <c r="E24" s="149"/>
      <c r="F24" s="558">
        <v>10825</v>
      </c>
      <c r="G24" s="149"/>
      <c r="H24" s="168">
        <f>SUM(I24:AB24)</f>
        <v>196886.77091033978</v>
      </c>
      <c r="I24" s="610">
        <f>-PV(InterestRate,I$8,,(SUM(AC24:AF24)))</f>
        <v>0</v>
      </c>
      <c r="J24" s="610">
        <f>-PV(InterestRate,J$8,,(SUM(AG24:AJ24)))</f>
        <v>0</v>
      </c>
      <c r="K24" s="610">
        <f>-PV(InterestRate,K$8,,(SUM(AK24:AN24)))</f>
        <v>0</v>
      </c>
      <c r="L24" s="610">
        <f>-PV(InterestRate,L$8,,(SUM(AO24:AR24)))</f>
        <v>0</v>
      </c>
      <c r="M24" s="610">
        <f>-PV(InterestRate,M$8,,(SUM(AS24:AV24)))</f>
        <v>0</v>
      </c>
      <c r="N24" s="610">
        <f>-PV(InterestRate,N$8,,(SUM(AW24:AZ24)))</f>
        <v>11821.021296816441</v>
      </c>
      <c r="O24" s="610">
        <f>-PV(InterestRate,O$8,,(SUM(BA24:BD24)))</f>
        <v>11995.71619282851</v>
      </c>
      <c r="P24" s="610">
        <f>-PV(InterestRate,P$8,,(SUM(BE24:BH24)))</f>
        <v>12172.992786811195</v>
      </c>
      <c r="Q24" s="610">
        <f>-PV(InterestRate,Q$8,,(SUM(BI24:BL24)))</f>
        <v>12352.889231936486</v>
      </c>
      <c r="R24" s="610">
        <f>-PV(InterestRate,R$8,,(SUM(BM24:BP24)))</f>
        <v>12535.444245216337</v>
      </c>
      <c r="S24" s="610">
        <f>-PV(InterestRate,S$8,,(SUM(BQ24:BT24)))</f>
        <v>12720.697115835301</v>
      </c>
      <c r="T24" s="610">
        <f>-PV(InterestRate,T$8,,(SUM(BU24:BX24)))</f>
        <v>12908.687713606265</v>
      </c>
      <c r="U24" s="610">
        <f>-PV(InterestRate,U$8,,(SUM(BY24:CB24)))</f>
        <v>13099.456497551186</v>
      </c>
      <c r="V24" s="610">
        <f>-PV(InterestRate,V$8,,(SUM(CC24:CF24)))</f>
        <v>13293.044524608596</v>
      </c>
      <c r="W24" s="610">
        <f>-PV(InterestRate,W$8,,(SUM(CG24:CJ24)))</f>
        <v>13489.493458469809</v>
      </c>
      <c r="X24" s="610">
        <f>-PV(InterestRate,X$8,,(SUM(CK24:CN24)))</f>
        <v>13688.845578545719</v>
      </c>
      <c r="Y24" s="610">
        <f>-PV(InterestRate,Y$8,,(SUM(CO24:CR24)))</f>
        <v>13891.1437890661</v>
      </c>
      <c r="Z24" s="610">
        <f>-PV(InterestRate,Z$8,,(SUM(CS24:CV24)))</f>
        <v>14096.431628313385</v>
      </c>
      <c r="AA24" s="610">
        <f>-PV(InterestRate,AA$8,,(SUM(CW24:CZ24)))</f>
        <v>14304.753277992893</v>
      </c>
      <c r="AB24" s="611">
        <f>-PV(InterestRate,AB$8,,(SUM(DA24:DD24)))</f>
        <v>14516.153572741561</v>
      </c>
      <c r="AC24" s="160">
        <f>IF($C24&gt;0,(IF($C24=$AC$7,$D24,0)),0)</f>
        <v>0</v>
      </c>
      <c r="AD24" s="150">
        <f>IF($C24&gt;0,(IF($AC$7&gt;=$C24+1,$E24,0)),0)</f>
        <v>0</v>
      </c>
      <c r="AE24" s="150">
        <f>IF($C24&gt;0,(IF($C24=$AC$7,$F24,0)),0)</f>
        <v>0</v>
      </c>
      <c r="AF24" s="165">
        <f>IF($C24&gt;0,(IF($AC$7&gt;=$C24+1,$G24,0)),0)</f>
        <v>0</v>
      </c>
      <c r="AG24" s="168">
        <f>IF($C24&gt;0,(IF($C24=$AG$7,(-FV(InflationRate,$AG$7,,$D24)),0)),0)</f>
        <v>0</v>
      </c>
      <c r="AH24" s="149">
        <f>IF($C24&gt;0,(IF($AG$7&gt;=$C24+1, (-FV(InflationRate,$AG$7,,$E24)), 0)),0)</f>
        <v>0</v>
      </c>
      <c r="AI24" s="149">
        <f>IF($C24&gt;0,(IF($AG$7&gt;=$C24+1, (-FV(InflationRate,$AG$7,,$F24)), 0)),0)</f>
        <v>0</v>
      </c>
      <c r="AJ24" s="171">
        <f>IF($C24&gt;0,(IF($AG$7&gt;=$C24+1, (-FV(InflationRate,$AG$7,,$G24)), 0)),0)</f>
        <v>0</v>
      </c>
      <c r="AK24" s="160">
        <f>IF($C24&gt;0,(IF($C24=$AK$7,(-FV(InflationRate,$AK$7,,$D24)),0)),0)</f>
        <v>0</v>
      </c>
      <c r="AL24" s="150">
        <f>IF($C24&gt;0,(IF($AK$7&gt;=$C24+1, (-FV(InflationRate,$AK$7,,$E24)), 0)),0)</f>
        <v>0</v>
      </c>
      <c r="AM24" s="150">
        <f>IF($C24&gt;0,(IF($AK$7&gt;=$C24+1, (-FV(InflationRate,$AK$7,,$F24)), 0)),0)</f>
        <v>0</v>
      </c>
      <c r="AN24" s="165">
        <f>IF($C24&gt;0,(IF($AK$7&gt;=$C24+1, (-FV(InflationRate,$AK$7,,$G24)), 0)),0)</f>
        <v>0</v>
      </c>
      <c r="AO24" s="168">
        <f>IF($C24&gt;0,(IF($C24=$AO$7,(-FV(InflationRate,$AO$7,,$D24)),0)),0)</f>
        <v>0</v>
      </c>
      <c r="AP24" s="149">
        <f>IF($C24&gt;0,(IF($AO$7&gt;=$C24+1, (-FV(InflationRate,$AO$7,,$E24)), 0)),0)</f>
        <v>0</v>
      </c>
      <c r="AQ24" s="149">
        <f>IF($C24&gt;0,(IF($AO$7&gt;=$C24+1, (-FV(InflationRate,$AO$7,,$F24)), 0)),0)</f>
        <v>0</v>
      </c>
      <c r="AR24" s="157">
        <f>IF($C24&gt;0,(IF($AO$7&gt;=$C24+1, (-FV(InflationRate,$AO$7,,$G24)), 0)),0)</f>
        <v>0</v>
      </c>
      <c r="AS24" s="160">
        <f>IF($C24&gt;0,(IF($C24=$AS$7,(-FV(InflationRate,$AS$7,,$D24)),0)),0)</f>
        <v>0</v>
      </c>
      <c r="AT24" s="150">
        <f>IF($C24&gt;0,(IF($AS$7&gt;=$C24+1, (-FV(InflationRate,$AS$7,,$E24)), 0)),0)</f>
        <v>0</v>
      </c>
      <c r="AU24" s="150">
        <f>IF($C24&gt;0,(IF($AS$7&gt;=$C24+1, (-FV(InflationRate,$AS$7,,$F24)), 0)),0)</f>
        <v>0</v>
      </c>
      <c r="AV24" s="165">
        <f>IF($C24&gt;0,(IF($AS$7&gt;=$C24+1, (-FV(InflationRate,$AS$7,,$G24)), 0)),0)</f>
        <v>0</v>
      </c>
      <c r="AW24" s="168">
        <f>IF($C24&gt;0,(IF($C24=$AW$7,(-FV(InflationRate,$AW$7,,$D24)),0)),0)</f>
        <v>0</v>
      </c>
      <c r="AX24" s="149">
        <f>IF($C24&gt;0,(IF($AW$7&gt;=$C24+1, (-FV(InflationRate,$AW$7,,$E24)), 0)),0)</f>
        <v>0</v>
      </c>
      <c r="AY24" s="149">
        <f>IF($C24&gt;0,(IF($AW$7&gt;=$C24+1, (-FV(InflationRate,$AW$7,,$F24)), 0)),0)</f>
        <v>12925.616109926425</v>
      </c>
      <c r="AZ24" s="157">
        <f>IF($C24&gt;0,(IF($AW$7&gt;=$C24+1, (-FV(InflationRate,$AW$7,,$G24)), 0)),0)</f>
        <v>0</v>
      </c>
      <c r="BA24" s="160">
        <f>IF($C24&gt;0,(IF($C24=$BA$7,(-FV(InflationRate,$BA$7,,$D24)),0)),0)</f>
        <v>0</v>
      </c>
      <c r="BB24" s="150">
        <f>IF($C24&gt;0,(IF($BA$7&gt;=$C24+1, (-FV(InflationRate,$BA$7,,$E24)), 0)),0)</f>
        <v>0</v>
      </c>
      <c r="BC24" s="150">
        <f>IF($C24&gt;0,(IF($BA$7&gt;=$C24+1, (-FV(InflationRate,$BA$7,,$F24)), 0)),0)</f>
        <v>13313.384593224218</v>
      </c>
      <c r="BD24" s="176">
        <f>IF($C24&gt;0,(IF($BA$7&gt;=$C24+1, (-FV(InflationRate,$BA$7,,$G24)), 0)),0)</f>
        <v>0</v>
      </c>
      <c r="BE24" s="168">
        <f>IF($C24&gt;0,(IF($C24=$BE$7,(-FV(InflationRate,$BE$7,,$D24)),0)),0)</f>
        <v>0</v>
      </c>
      <c r="BF24" s="149">
        <f>IF($C24&gt;0,(IF($BE$7&gt;=$C24+1, (-FV(InflationRate,$BE$7,,$E24)), 0)),0)</f>
        <v>0</v>
      </c>
      <c r="BG24" s="149">
        <f>IF($C24&gt;0,(IF($BE$7&gt;=$C24+1, (-FV(InflationRate,$BE$7,,$F24)), 0)),0)</f>
        <v>13712.786131020943</v>
      </c>
      <c r="BH24" s="171">
        <f>IF($C24&gt;0,(IF($BE$7&gt;=$C24+1, (-FV(InflationRate,$BE$7,,$G24)), 0)),0)</f>
        <v>0</v>
      </c>
      <c r="BI24" s="160">
        <f>IF($C24&gt;0,(IF($C24=$BI$7,(-FV(InflationRate,$BI$7,,$D24)),0)),0)</f>
        <v>0</v>
      </c>
      <c r="BJ24" s="150">
        <f>IF($C24&gt;0,(IF($BI$7&gt;=$C24+1, (-FV(InflationRate,$BI$7,,$E24)), 0)),0)</f>
        <v>0</v>
      </c>
      <c r="BK24" s="150">
        <f>IF($C24&gt;0,(IF($BI$7&gt;=$C24+1, (-FV(InflationRate,$BI$7,,$F24)), 0)),0)</f>
        <v>14124.169714951571</v>
      </c>
      <c r="BL24" s="176">
        <f>IF($C24&gt;0,(IF($BI$7&gt;=$C24+1, (-FV(InflationRate,$BI$7,,$G24)), 0)),0)</f>
        <v>0</v>
      </c>
      <c r="BM24" s="168">
        <f>IF($C24&gt;0,(IF($C24=$BM$7,(-FV(InflationRate,$BM$7,,$D24)),0)),0)</f>
        <v>0</v>
      </c>
      <c r="BN24" s="149">
        <f>IF($C24&gt;0,(IF($BM$7&gt;=$C24+1, (-FV(InflationRate,$BM$7,,$E24)), 0)),0)</f>
        <v>0</v>
      </c>
      <c r="BO24" s="149">
        <f>IF($C24&gt;0,(IF($BM$7&gt;=$C24+1, (-FV(InflationRate,$BM$7,,$F24)), 0)),0)</f>
        <v>14547.894806400118</v>
      </c>
      <c r="BP24" s="157">
        <f>IF($C24&gt;0,(IF($BM$7&gt;=$C24+1, (-FV(InflationRate,$BM$7,,$G24)), 0)),0)</f>
        <v>0</v>
      </c>
      <c r="BQ24" s="160">
        <f>IF($C24&gt;0,(IF($C24=$BQ$7,(-FV(InflationRate,$BQ$7,,$D24)),0)),0)</f>
        <v>0</v>
      </c>
      <c r="BR24" s="150">
        <f>IF($C24&gt;0,(IF($BQ$7&gt;=$C24+1, (-FV(InflationRate,$BQ$7,,$E24)), 0)),0)</f>
        <v>0</v>
      </c>
      <c r="BS24" s="150">
        <f>IF($C24&gt;0,(IF($BQ$7&gt;=$C24+1, (-FV(InflationRate,$BQ$7,,$F24)), 0)),0)</f>
        <v>14984.331650592123</v>
      </c>
      <c r="BT24" s="176">
        <f>IF($C24&gt;0,(IF($BQ$7&gt;=$C24+1, (-FV(InflationRate,$BQ$7,,$G24)), 0)),0)</f>
        <v>0</v>
      </c>
      <c r="BU24" s="168">
        <f>IF($C24&gt;0,(IF($C24=$BU$7,(-FV(InflationRate,$BU$7,,$D24)),0)),0)</f>
        <v>0</v>
      </c>
      <c r="BV24" s="149">
        <f>IF($C24&gt;0,(IF($BU$7&gt;=$C24+1, (-FV(InflationRate,$BU$7,,$E24)), 0)),0)</f>
        <v>0</v>
      </c>
      <c r="BW24" s="149">
        <f>IF($C24&gt;0,(IF($BU$7&gt;=$C24+1, (-FV(InflationRate,$BU$7,,$F24)), 0)),0)</f>
        <v>15433.861600109884</v>
      </c>
      <c r="BX24" s="157">
        <f>IF($C24&gt;0,(IF($BU$7&gt;=$C24+1, (-FV(InflationRate,$BU$7,,$G24)), 0)),0)</f>
        <v>0</v>
      </c>
      <c r="BY24" s="160">
        <f>IF($C24&gt;0,(IF($C24=$BY$7,(-FV(InflationRate,$BY$7,,$D24)),0)),0)</f>
        <v>0</v>
      </c>
      <c r="BZ24" s="150">
        <f>IF($C24&gt;0,(IF($BY$7&gt;=$C24+1, (-FV(InflationRate,$BY$7,,$E24)), 0)),0)</f>
        <v>0</v>
      </c>
      <c r="CA24" s="150">
        <f>IF($C24&gt;0,(IF($BY$7&gt;=$C24+1, (-FV(InflationRate,$BY$7,,$F24)), 0)),0)</f>
        <v>15896.877448113179</v>
      </c>
      <c r="CB24" s="176">
        <f>IF($C24&gt;0,(IF($BY$7&gt;=$C24+1, (-FV(InflationRate,$BY$7,,$G24)), 0)),0)</f>
        <v>0</v>
      </c>
      <c r="CC24" s="168">
        <f>IF($C24&gt;0,(IF($C24=$CC$7,(-FV(InflationRate,$CC$7,,$D24)),0)),0)</f>
        <v>0</v>
      </c>
      <c r="CD24" s="149">
        <f>IF($C24&gt;0,(IF($CC$7&gt;=$C24+1, (-FV(InflationRate,$CC$7,,$E24)), 0)),0)</f>
        <v>0</v>
      </c>
      <c r="CE24" s="149">
        <f>IF($C24&gt;0,(IF($CC$7&gt;=$C24+1, (-FV(InflationRate,$CC$7,,$F24)), 0)),0)</f>
        <v>16373.783771556577</v>
      </c>
      <c r="CF24" s="157">
        <f>IF($C24&gt;0,(IF($CC$7&gt;=$C24+1, (-FV(InflationRate,$CC$7,,$G24)), 0)),0)</f>
        <v>0</v>
      </c>
      <c r="CG24" s="160">
        <f>IF($C24&gt;0,(IF($C24=$CG$7,(-FV(InflationRate,$CG$7,,$D24)),0)),0)</f>
        <v>0</v>
      </c>
      <c r="CH24" s="150">
        <f>IF($C24&gt;0,(IF($CG$7&gt;=$C24+1, (-FV(InflationRate,$CG$7,,$E24)), 0)),0)</f>
        <v>0</v>
      </c>
      <c r="CI24" s="150">
        <f>IF($C24&gt;0,(IF($CG$7&gt;=$C24+1, (-FV(InflationRate,$CG$7,,$F24)), 0)),0)</f>
        <v>16864.997284703273</v>
      </c>
      <c r="CJ24" s="176">
        <f>IF($C24&gt;0,(IF($CG$7&gt;=$C24+1, (-FV(InflationRate,$CG$7,,$G24)), 0)),0)</f>
        <v>0</v>
      </c>
      <c r="CK24" s="168">
        <f>IF($C24&gt;0,(IF($C24=$CK$7,(-FV(InflationRate,$CK$7,,$D24)),0)),0)</f>
        <v>0</v>
      </c>
      <c r="CL24" s="149">
        <f>IF($C24&gt;0,(IF($CK$7&gt;=$C24+1, (-FV(InflationRate,$CK$7,,$E24)), 0)),0)</f>
        <v>0</v>
      </c>
      <c r="CM24" s="149">
        <f>IF($C24&gt;0,(IF($CK$7&gt;=$C24+1, (-FV(InflationRate,$CK$7,,$F24)), 0)),0)</f>
        <v>17370.94720324437</v>
      </c>
      <c r="CN24" s="157">
        <f>IF($C24&gt;0,(IF($CK$7&gt;=$C24+1, (-FV(InflationRate,$CK$7,,$G24)), 0)),0)</f>
        <v>0</v>
      </c>
      <c r="CO24" s="160">
        <f>IF($C24&gt;0,(IF($C24=$CO$7,(-FV(InflationRate,$CO$7,,$D24)),0)),0)</f>
        <v>0</v>
      </c>
      <c r="CP24" s="150">
        <f>IF($C24&gt;0,(IF($CO$7&gt;=$C24+1, (-FV(InflationRate,$CO$7,,$E24)), 0)),0)</f>
        <v>0</v>
      </c>
      <c r="CQ24" s="150">
        <f>IF($C24&gt;0,(IF($CO$7&gt;=$C24+1, (-FV(InflationRate,$CO$7,,$F24)), 0)),0)</f>
        <v>17892.0756193417</v>
      </c>
      <c r="CR24" s="176">
        <f>IF($C24&gt;0,(IF($CO$7&gt;=$C24+1, (-FV(InflationRate,$CO$7,,$G24)), 0)),0)</f>
        <v>0</v>
      </c>
      <c r="CS24" s="168">
        <f>IF($C24&gt;0,(IF($C24=$CS$7,(-FV(InflationRate,$CS$7,,$D24)),0)),0)</f>
        <v>0</v>
      </c>
      <c r="CT24" s="149">
        <f>IF($C24&gt;0,(IF($CS$7&gt;=$C24+1, (-FV(InflationRate,$CS$7,,$E24)), 0)),0)</f>
        <v>0</v>
      </c>
      <c r="CU24" s="149">
        <f>IF($C24&gt;0,(IF($CS$7&gt;=$C24+1, (-FV(InflationRate,$CS$7,,$F24)), 0)),0)</f>
        <v>18428.837887921953</v>
      </c>
      <c r="CV24" s="157">
        <f>IF($C24&gt;0,(IF($CS$7&gt;=$C24+1, (-FV(InflationRate,$CS$7,,$G24)), 0)),0)</f>
        <v>0</v>
      </c>
      <c r="CW24" s="160">
        <f>IF($C24&gt;0,(IF($C24=$CW$7,(-FV(InflationRate,$CW$7,,$D24)),0)),0)</f>
        <v>0</v>
      </c>
      <c r="CX24" s="150">
        <f>IF($C24&gt;0,(IF($CW$7&gt;=$C24+1, (-FV(InflationRate,$CW$7,,$E24)), 0)),0)</f>
        <v>0</v>
      </c>
      <c r="CY24" s="150">
        <f>IF($C24&gt;0,(IF($CW$7&gt;=$C24+1, (-FV(InflationRate,$CW$7,,$F24)), 0)),0)</f>
        <v>18981.703024559611</v>
      </c>
      <c r="CZ24" s="176">
        <f>IF($C24&gt;0,(IF($CW$7&gt;=$C24+1, (-FV(InflationRate,$CW$7,,$G24)), 0)),0)</f>
        <v>0</v>
      </c>
      <c r="DA24" s="168">
        <f>IF($C24&gt;0,(IF($C24=$DA$7,(-FV(InflationRate,$DA$7,,$D24)),0)),0)</f>
        <v>0</v>
      </c>
      <c r="DB24" s="149">
        <f>IF($C24&gt;0,(IF($DA$7&gt;=$C24+1, (-FV(InflationRate,$DA$7,,$E24)), 0)),0)</f>
        <v>0</v>
      </c>
      <c r="DC24" s="149">
        <f>IF($C24&gt;0,(IF($DA$7&gt;=$C24+1, (-FV(InflationRate,$DA$7,,$F24)), 0)),0)</f>
        <v>19551.154115296398</v>
      </c>
      <c r="DD24" s="157">
        <f>IF($C24&gt;0,(IF($DA$7&gt;=$C24+1, (-FV(InflationRate,$DA$7,,$G24)), 0)),0)</f>
        <v>0</v>
      </c>
    </row>
    <row r="25" spans="2:108" ht="12.75" customHeight="1" x14ac:dyDescent="0.2">
      <c r="B25" s="182" t="s">
        <v>221</v>
      </c>
      <c r="C25" s="189"/>
      <c r="D25" s="168"/>
      <c r="E25" s="149"/>
      <c r="F25" s="149"/>
      <c r="G25" s="149"/>
      <c r="H25" s="168"/>
      <c r="I25" s="600"/>
      <c r="J25" s="600"/>
      <c r="K25" s="600"/>
      <c r="L25" s="600"/>
      <c r="M25" s="600"/>
      <c r="N25" s="600"/>
      <c r="O25" s="600"/>
      <c r="P25" s="600"/>
      <c r="Q25" s="600"/>
      <c r="R25" s="600"/>
      <c r="S25" s="600"/>
      <c r="T25" s="600"/>
      <c r="U25" s="600"/>
      <c r="V25" s="600"/>
      <c r="W25" s="600"/>
      <c r="X25" s="600"/>
      <c r="Y25" s="600"/>
      <c r="Z25" s="600"/>
      <c r="AA25" s="600"/>
      <c r="AB25" s="601"/>
      <c r="AC25" s="160"/>
      <c r="AD25" s="150"/>
      <c r="AE25" s="150"/>
      <c r="AF25" s="165"/>
      <c r="AG25" s="168"/>
      <c r="AH25" s="149"/>
      <c r="AI25" s="149"/>
      <c r="AJ25" s="171"/>
      <c r="AK25" s="160"/>
      <c r="AL25" s="150"/>
      <c r="AM25" s="150"/>
      <c r="AN25" s="165"/>
      <c r="AO25" s="168"/>
      <c r="AP25" s="149"/>
      <c r="AQ25" s="149"/>
      <c r="AR25" s="157"/>
      <c r="AS25" s="160"/>
      <c r="AT25" s="150"/>
      <c r="AU25" s="150"/>
      <c r="AV25" s="165"/>
      <c r="AW25" s="168"/>
      <c r="AX25" s="149"/>
      <c r="AY25" s="149"/>
      <c r="AZ25" s="157"/>
      <c r="BA25" s="160"/>
      <c r="BB25" s="150"/>
      <c r="BC25" s="150"/>
      <c r="BD25" s="176"/>
      <c r="BE25" s="168"/>
      <c r="BF25" s="149"/>
      <c r="BG25" s="149"/>
      <c r="BH25" s="171"/>
      <c r="BI25" s="160"/>
      <c r="BJ25" s="150"/>
      <c r="BK25" s="150"/>
      <c r="BL25" s="176"/>
      <c r="BM25" s="168"/>
      <c r="BN25" s="149"/>
      <c r="BO25" s="149"/>
      <c r="BP25" s="157"/>
      <c r="BQ25" s="160"/>
      <c r="BR25" s="150"/>
      <c r="BS25" s="150"/>
      <c r="BT25" s="176"/>
      <c r="BU25" s="168"/>
      <c r="BV25" s="149"/>
      <c r="BW25" s="149"/>
      <c r="BX25" s="157"/>
      <c r="BY25" s="160"/>
      <c r="BZ25" s="150"/>
      <c r="CA25" s="150"/>
      <c r="CB25" s="176"/>
      <c r="CC25" s="168"/>
      <c r="CD25" s="149"/>
      <c r="CE25" s="149"/>
      <c r="CF25" s="157"/>
      <c r="CG25" s="160"/>
      <c r="CH25" s="150"/>
      <c r="CI25" s="150"/>
      <c r="CJ25" s="176"/>
      <c r="CK25" s="168"/>
      <c r="CL25" s="149"/>
      <c r="CM25" s="149"/>
      <c r="CN25" s="157"/>
      <c r="CO25" s="160"/>
      <c r="CP25" s="150"/>
      <c r="CQ25" s="150"/>
      <c r="CR25" s="176"/>
      <c r="CS25" s="168"/>
      <c r="CT25" s="149"/>
      <c r="CU25" s="149"/>
      <c r="CV25" s="157"/>
      <c r="CW25" s="160"/>
      <c r="CX25" s="150"/>
      <c r="CY25" s="150"/>
      <c r="CZ25" s="176"/>
      <c r="DA25" s="168"/>
      <c r="DB25" s="149"/>
      <c r="DC25" s="149"/>
      <c r="DD25" s="157"/>
    </row>
    <row r="26" spans="2:108" ht="12.75" customHeight="1" x14ac:dyDescent="0.2">
      <c r="B26" s="183" t="s">
        <v>220</v>
      </c>
      <c r="C26" s="556"/>
      <c r="D26" s="557">
        <v>0</v>
      </c>
      <c r="E26" s="149"/>
      <c r="F26" s="149"/>
      <c r="G26" s="149"/>
      <c r="H26" s="168">
        <f>SUM(I26:AB26)</f>
        <v>0</v>
      </c>
      <c r="I26" s="610">
        <f>-PV(InterestRate,I$8,,(SUM(AC26:AF26)))</f>
        <v>0</v>
      </c>
      <c r="J26" s="610">
        <f>-PV(InterestRate,J$8,,(SUM(AG26:AJ26)))</f>
        <v>0</v>
      </c>
      <c r="K26" s="610">
        <f>-PV(InterestRate,K$8,,(SUM(AK26:AN26)))</f>
        <v>0</v>
      </c>
      <c r="L26" s="610">
        <f>-PV(InterestRate,L$8,,(SUM(AO26:AR26)))</f>
        <v>0</v>
      </c>
      <c r="M26" s="610">
        <f>-PV(InterestRate,M$8,,(SUM(AS26:AV26)))</f>
        <v>0</v>
      </c>
      <c r="N26" s="610">
        <f>-PV(InterestRate,N$8,,(SUM(AW26:AZ26)))</f>
        <v>0</v>
      </c>
      <c r="O26" s="610">
        <f>-PV(InterestRate,O$8,,(SUM(BA26:BD26)))</f>
        <v>0</v>
      </c>
      <c r="P26" s="610">
        <f>-PV(InterestRate,P$8,,(SUM(BE26:BH26)))</f>
        <v>0</v>
      </c>
      <c r="Q26" s="610">
        <f>-PV(InterestRate,Q$8,,(SUM(BI26:BL26)))</f>
        <v>0</v>
      </c>
      <c r="R26" s="610">
        <f>-PV(InterestRate,R$8,,(SUM(BM26:BP26)))</f>
        <v>0</v>
      </c>
      <c r="S26" s="610">
        <f>-PV(InterestRate,S$8,,(SUM(BQ26:BT26)))</f>
        <v>0</v>
      </c>
      <c r="T26" s="610">
        <f>-PV(InterestRate,T$8,,(SUM(BU26:BX26)))</f>
        <v>0</v>
      </c>
      <c r="U26" s="610">
        <f>-PV(InterestRate,U$8,,(SUM(BY26:CB26)))</f>
        <v>0</v>
      </c>
      <c r="V26" s="610">
        <f>-PV(InterestRate,V$8,,(SUM(CC26:CF26)))</f>
        <v>0</v>
      </c>
      <c r="W26" s="610">
        <f>-PV(InterestRate,W$8,,(SUM(CG26:CJ26)))</f>
        <v>0</v>
      </c>
      <c r="X26" s="610">
        <f>-PV(InterestRate,X$8,,(SUM(CK26:CN26)))</f>
        <v>0</v>
      </c>
      <c r="Y26" s="610">
        <f>-PV(InterestRate,Y$8,,(SUM(CO26:CR26)))</f>
        <v>0</v>
      </c>
      <c r="Z26" s="610">
        <f>-PV(InterestRate,Z$8,,(SUM(CS26:CV26)))</f>
        <v>0</v>
      </c>
      <c r="AA26" s="610">
        <f>-PV(InterestRate,AA$8,,(SUM(CW26:CZ26)))</f>
        <v>0</v>
      </c>
      <c r="AB26" s="611">
        <f>-PV(InterestRate,AB$8,,(SUM(DA26:DD26)))</f>
        <v>0</v>
      </c>
      <c r="AC26" s="160">
        <f>IF($C26&gt;0,(IF($C26=$AC$7,$D26,0)),0)</f>
        <v>0</v>
      </c>
      <c r="AD26" s="150">
        <f>IF($C26&gt;0,(IF($AC$7&gt;=$C26+1,$E26,0)),0)</f>
        <v>0</v>
      </c>
      <c r="AE26" s="150">
        <f>IF($C26&gt;0,(IF($C26=$AC$7,$F26,0)),0)</f>
        <v>0</v>
      </c>
      <c r="AF26" s="165">
        <f>IF($C26&gt;0,(IF($AC$7&gt;=$C26+1,$G26,0)),0)</f>
        <v>0</v>
      </c>
      <c r="AG26" s="168">
        <f>IF($C26&gt;0,(IF($C26=$AG$7,(-FV(InflationRate,$AG$7,,$D26)),0)),0)</f>
        <v>0</v>
      </c>
      <c r="AH26" s="149">
        <f>IF($C26&gt;0,(IF($AG$7&gt;=$C26+1, (-FV(InflationRate,$AG$7,,$E26)), 0)),0)</f>
        <v>0</v>
      </c>
      <c r="AI26" s="149">
        <f>IF($C26&gt;0,(IF($AG$7&gt;=$C26+1, (-FV(InflationRate,$AG$7,,$F26)), 0)),0)</f>
        <v>0</v>
      </c>
      <c r="AJ26" s="171">
        <f>IF($C26&gt;0,(IF($AG$7&gt;=$C26+1, (-FV(InflationRate,$AG$7,,$G26)), 0)),0)</f>
        <v>0</v>
      </c>
      <c r="AK26" s="160">
        <f>IF($C26&gt;0,(IF($C26=$AK$7,(-FV(InflationRate,$AK$7,,$D26)),0)),0)</f>
        <v>0</v>
      </c>
      <c r="AL26" s="150">
        <f>IF($C26&gt;0,(IF($AK$7&gt;=$C26+1, (-FV(InflationRate,$AK$7,,$E26)), 0)),0)</f>
        <v>0</v>
      </c>
      <c r="AM26" s="150">
        <f>IF($C26&gt;0,(IF($AK$7&gt;=$C26+1, (-FV(InflationRate,$AK$7,,$F26)), 0)),0)</f>
        <v>0</v>
      </c>
      <c r="AN26" s="165">
        <f>IF($C26&gt;0,(IF($AK$7&gt;=$C26+1, (-FV(InflationRate,$AK$7,,$G26)), 0)),0)</f>
        <v>0</v>
      </c>
      <c r="AO26" s="168">
        <f>IF($C26&gt;0,(IF($C26=$AO$7,(-FV(InflationRate,$AO$7,,$D26)),0)),0)</f>
        <v>0</v>
      </c>
      <c r="AP26" s="149">
        <f>IF($C26&gt;0,(IF($AO$7&gt;=$C26+1, (-FV(InflationRate,$AO$7,,$E26)), 0)),0)</f>
        <v>0</v>
      </c>
      <c r="AQ26" s="149">
        <f>IF($C26&gt;0,(IF($AO$7&gt;=$C26+1, (-FV(InflationRate,$AO$7,,$F26)), 0)),0)</f>
        <v>0</v>
      </c>
      <c r="AR26" s="157">
        <f>IF($C26&gt;0,(IF($AO$7&gt;=$C26+1, (-FV(InflationRate,$AO$7,,$G26)), 0)),0)</f>
        <v>0</v>
      </c>
      <c r="AS26" s="160">
        <f>IF($C26&gt;0,(IF($C26=$AS$7,(-FV(InflationRate,$AS$7,,$D26)),0)),0)</f>
        <v>0</v>
      </c>
      <c r="AT26" s="150">
        <f>IF($C26&gt;0,(IF($AS$7&gt;=$C26+1, (-FV(InflationRate,$AS$7,,$E26)), 0)),0)</f>
        <v>0</v>
      </c>
      <c r="AU26" s="150">
        <f>IF($C26&gt;0,(IF($AS$7&gt;=$C26+1, (-FV(InflationRate,$AS$7,,$F26)), 0)),0)</f>
        <v>0</v>
      </c>
      <c r="AV26" s="165">
        <f>IF($C26&gt;0,(IF($AS$7&gt;=$C26+1, (-FV(InflationRate,$AS$7,,$G26)), 0)),0)</f>
        <v>0</v>
      </c>
      <c r="AW26" s="168">
        <f>IF($C26&gt;0,(IF($C26=$AW$7,(-FV(InflationRate,$AW$7,,$D26)),0)),0)</f>
        <v>0</v>
      </c>
      <c r="AX26" s="149">
        <f>IF($C26&gt;0,(IF($AW$7&gt;=$C26+1, (-FV(InflationRate,$AW$7,,$E26)), 0)),0)</f>
        <v>0</v>
      </c>
      <c r="AY26" s="149">
        <f>IF($C26&gt;0,(IF($AW$7&gt;=$C26+1, (-FV(InflationRate,$AW$7,,$F26)), 0)),0)</f>
        <v>0</v>
      </c>
      <c r="AZ26" s="157">
        <f>IF($C26&gt;0,(IF($AW$7&gt;=$C26+1, (-FV(InflationRate,$AW$7,,$G26)), 0)),0)</f>
        <v>0</v>
      </c>
      <c r="BA26" s="160">
        <f>IF($C26&gt;0,(IF($C26=$BA$7,(-FV(InflationRate,$BA$7,,$D26)),0)),0)</f>
        <v>0</v>
      </c>
      <c r="BB26" s="150">
        <f>IF($C26&gt;0,(IF($BA$7&gt;=$C26+1, (-FV(InflationRate,$BA$7,,$E26)), 0)),0)</f>
        <v>0</v>
      </c>
      <c r="BC26" s="150">
        <f>IF($C26&gt;0,(IF($BA$7&gt;=$C26+1, (-FV(InflationRate,$BA$7,,$F26)), 0)),0)</f>
        <v>0</v>
      </c>
      <c r="BD26" s="176">
        <f>IF($C26&gt;0,(IF($BA$7&gt;=$C26+1, (-FV(InflationRate,$BA$7,,$G26)), 0)),0)</f>
        <v>0</v>
      </c>
      <c r="BE26" s="168">
        <f>IF($C26&gt;0,(IF($C26=$BE$7,(-FV(InflationRate,$BE$7,,$D26)),0)),0)</f>
        <v>0</v>
      </c>
      <c r="BF26" s="149">
        <f>IF($C26&gt;0,(IF($BE$7&gt;=$C26+1, (-FV(InflationRate,$BE$7,,$E26)), 0)),0)</f>
        <v>0</v>
      </c>
      <c r="BG26" s="149">
        <f>IF($C26&gt;0,(IF($BE$7&gt;=$C26+1, (-FV(InflationRate,$BE$7,,$F26)), 0)),0)</f>
        <v>0</v>
      </c>
      <c r="BH26" s="171">
        <f>IF($C26&gt;0,(IF($BE$7&gt;=$C26+1, (-FV(InflationRate,$BE$7,,$G26)), 0)),0)</f>
        <v>0</v>
      </c>
      <c r="BI26" s="160">
        <f>IF($C26&gt;0,(IF($C26=$BI$7,(-FV(InflationRate,$BI$7,,$D26)),0)),0)</f>
        <v>0</v>
      </c>
      <c r="BJ26" s="150">
        <f>IF($C26&gt;0,(IF($BI$7&gt;=$C26+1, (-FV(InflationRate,$BI$7,,$E26)), 0)),0)</f>
        <v>0</v>
      </c>
      <c r="BK26" s="150">
        <f>IF($C26&gt;0,(IF($BI$7&gt;=$C26+1, (-FV(InflationRate,$BI$7,,$F26)), 0)),0)</f>
        <v>0</v>
      </c>
      <c r="BL26" s="176">
        <f>IF($C26&gt;0,(IF($BI$7&gt;=$C26+1, (-FV(InflationRate,$BI$7,,$G26)), 0)),0)</f>
        <v>0</v>
      </c>
      <c r="BM26" s="168">
        <f>IF($C26&gt;0,(IF($C26=$BM$7,(-FV(InflationRate,$BM$7,,$D26)),0)),0)</f>
        <v>0</v>
      </c>
      <c r="BN26" s="149">
        <f>IF($C26&gt;0,(IF($BM$7&gt;=$C26+1, (-FV(InflationRate,$BM$7,,$E26)), 0)),0)</f>
        <v>0</v>
      </c>
      <c r="BO26" s="149">
        <f>IF($C26&gt;0,(IF($BM$7&gt;=$C26+1, (-FV(InflationRate,$BM$7,,$F26)), 0)),0)</f>
        <v>0</v>
      </c>
      <c r="BP26" s="157">
        <f>IF($C26&gt;0,(IF($BM$7&gt;=$C26+1, (-FV(InflationRate,$BM$7,,$G26)), 0)),0)</f>
        <v>0</v>
      </c>
      <c r="BQ26" s="160">
        <f>IF($C26&gt;0,(IF($C26=$BQ$7,(-FV(InflationRate,$BQ$7,,$D26)),0)),0)</f>
        <v>0</v>
      </c>
      <c r="BR26" s="150">
        <f>IF($C26&gt;0,(IF($BQ$7&gt;=$C26+1, (-FV(InflationRate,$BQ$7,,$E26)), 0)),0)</f>
        <v>0</v>
      </c>
      <c r="BS26" s="150">
        <f>IF($C26&gt;0,(IF($BQ$7&gt;=$C26+1, (-FV(InflationRate,$BQ$7,,$F26)), 0)),0)</f>
        <v>0</v>
      </c>
      <c r="BT26" s="176">
        <f>IF($C26&gt;0,(IF($BQ$7&gt;=$C26+1, (-FV(InflationRate,$BQ$7,,$G26)), 0)),0)</f>
        <v>0</v>
      </c>
      <c r="BU26" s="168">
        <f>IF($C26&gt;0,(IF($C26=$BU$7,(-FV(InflationRate,$BU$7,,$D26)),0)),0)</f>
        <v>0</v>
      </c>
      <c r="BV26" s="149">
        <f>IF($C26&gt;0,(IF($BU$7&gt;=$C26+1, (-FV(InflationRate,$BU$7,,$E26)), 0)),0)</f>
        <v>0</v>
      </c>
      <c r="BW26" s="149">
        <f>IF($C26&gt;0,(IF($BU$7&gt;=$C26+1, (-FV(InflationRate,$BU$7,,$F26)), 0)),0)</f>
        <v>0</v>
      </c>
      <c r="BX26" s="157">
        <f>IF($C26&gt;0,(IF($BU$7&gt;=$C26+1, (-FV(InflationRate,$BU$7,,$G26)), 0)),0)</f>
        <v>0</v>
      </c>
      <c r="BY26" s="160">
        <f>IF($C26&gt;0,(IF($C26=$BY$7,(-FV(InflationRate,$BY$7,,$D26)),0)),0)</f>
        <v>0</v>
      </c>
      <c r="BZ26" s="150">
        <f>IF($C26&gt;0,(IF($BY$7&gt;=$C26+1, (-FV(InflationRate,$BY$7,,$E26)), 0)),0)</f>
        <v>0</v>
      </c>
      <c r="CA26" s="150">
        <f>IF($C26&gt;0,(IF($BY$7&gt;=$C26+1, (-FV(InflationRate,$BY$7,,$F26)), 0)),0)</f>
        <v>0</v>
      </c>
      <c r="CB26" s="176">
        <f>IF($C26&gt;0,(IF($BY$7&gt;=$C26+1, (-FV(InflationRate,$BY$7,,$G26)), 0)),0)</f>
        <v>0</v>
      </c>
      <c r="CC26" s="168">
        <f>IF($C26&gt;0,(IF($C26=$CC$7,(-FV(InflationRate,$CC$7,,$D26)),0)),0)</f>
        <v>0</v>
      </c>
      <c r="CD26" s="149">
        <f>IF($C26&gt;0,(IF($CC$7&gt;=$C26+1, (-FV(InflationRate,$CC$7,,$E26)), 0)),0)</f>
        <v>0</v>
      </c>
      <c r="CE26" s="149">
        <f>IF($C26&gt;0,(IF($CC$7&gt;=$C26+1, (-FV(InflationRate,$CC$7,,$F26)), 0)),0)</f>
        <v>0</v>
      </c>
      <c r="CF26" s="157">
        <f>IF($C26&gt;0,(IF($CC$7&gt;=$C26+1, (-FV(InflationRate,$CC$7,,$G26)), 0)),0)</f>
        <v>0</v>
      </c>
      <c r="CG26" s="160">
        <f>IF($C26&gt;0,(IF($C26=$CG$7,(-FV(InflationRate,$CG$7,,$D26)),0)),0)</f>
        <v>0</v>
      </c>
      <c r="CH26" s="150">
        <f>IF($C26&gt;0,(IF($CG$7&gt;=$C26+1, (-FV(InflationRate,$CG$7,,$E26)), 0)),0)</f>
        <v>0</v>
      </c>
      <c r="CI26" s="150">
        <f>IF($C26&gt;0,(IF($CG$7&gt;=$C26+1, (-FV(InflationRate,$CG$7,,$F26)), 0)),0)</f>
        <v>0</v>
      </c>
      <c r="CJ26" s="176">
        <f>IF($C26&gt;0,(IF($CG$7&gt;=$C26+1, (-FV(InflationRate,$CG$7,,$G26)), 0)),0)</f>
        <v>0</v>
      </c>
      <c r="CK26" s="168">
        <f>IF($C26&gt;0,(IF($C26=$CK$7,(-FV(InflationRate,$CK$7,,$D26)),0)),0)</f>
        <v>0</v>
      </c>
      <c r="CL26" s="149">
        <f>IF($C26&gt;0,(IF($CK$7&gt;=$C26+1, (-FV(InflationRate,$CK$7,,$E26)), 0)),0)</f>
        <v>0</v>
      </c>
      <c r="CM26" s="149">
        <f>IF($C26&gt;0,(IF($CK$7&gt;=$C26+1, (-FV(InflationRate,$CK$7,,$F26)), 0)),0)</f>
        <v>0</v>
      </c>
      <c r="CN26" s="157">
        <f>IF($C26&gt;0,(IF($CK$7&gt;=$C26+1, (-FV(InflationRate,$CK$7,,$G26)), 0)),0)</f>
        <v>0</v>
      </c>
      <c r="CO26" s="160">
        <f>IF($C26&gt;0,(IF($C26=$CO$7,(-FV(InflationRate,$CO$7,,$D26)),0)),0)</f>
        <v>0</v>
      </c>
      <c r="CP26" s="150">
        <f>IF($C26&gt;0,(IF($CO$7&gt;=$C26+1, (-FV(InflationRate,$CO$7,,$E26)), 0)),0)</f>
        <v>0</v>
      </c>
      <c r="CQ26" s="150">
        <f>IF($C26&gt;0,(IF($CO$7&gt;=$C26+1, (-FV(InflationRate,$CO$7,,$F26)), 0)),0)</f>
        <v>0</v>
      </c>
      <c r="CR26" s="176">
        <f>IF($C26&gt;0,(IF($CO$7&gt;=$C26+1, (-FV(InflationRate,$CO$7,,$G26)), 0)),0)</f>
        <v>0</v>
      </c>
      <c r="CS26" s="168">
        <f>IF($C26&gt;0,(IF($C26=$CS$7,(-FV(InflationRate,$CS$7,,$D26)),0)),0)</f>
        <v>0</v>
      </c>
      <c r="CT26" s="149">
        <f>IF($C26&gt;0,(IF($CS$7&gt;=$C26+1, (-FV(InflationRate,$CS$7,,$E26)), 0)),0)</f>
        <v>0</v>
      </c>
      <c r="CU26" s="149">
        <f>IF($C26&gt;0,(IF($CS$7&gt;=$C26+1, (-FV(InflationRate,$CS$7,,$F26)), 0)),0)</f>
        <v>0</v>
      </c>
      <c r="CV26" s="157">
        <f>IF($C26&gt;0,(IF($CS$7&gt;=$C26+1, (-FV(InflationRate,$CS$7,,$G26)), 0)),0)</f>
        <v>0</v>
      </c>
      <c r="CW26" s="160">
        <f>IF($C26&gt;0,(IF($C26=$CW$7,(-FV(InflationRate,$CW$7,,$D26)),0)),0)</f>
        <v>0</v>
      </c>
      <c r="CX26" s="150">
        <f>IF($C26&gt;0,(IF($CW$7&gt;=$C26+1, (-FV(InflationRate,$CW$7,,$E26)), 0)),0)</f>
        <v>0</v>
      </c>
      <c r="CY26" s="150">
        <f>IF($C26&gt;0,(IF($CW$7&gt;=$C26+1, (-FV(InflationRate,$CW$7,,$F26)), 0)),0)</f>
        <v>0</v>
      </c>
      <c r="CZ26" s="176">
        <f>IF($C26&gt;0,(IF($CW$7&gt;=$C26+1, (-FV(InflationRate,$CW$7,,$G26)), 0)),0)</f>
        <v>0</v>
      </c>
      <c r="DA26" s="168">
        <f>IF($C26&gt;0,(IF($C26=$DA$7,(-FV(InflationRate,$DA$7,,$D26)),0)),0)</f>
        <v>0</v>
      </c>
      <c r="DB26" s="149">
        <f>IF($C26&gt;0,(IF($DA$7&gt;=$C26+1, (-FV(InflationRate,$DA$7,,$E26)), 0)),0)</f>
        <v>0</v>
      </c>
      <c r="DC26" s="149">
        <f>IF($C26&gt;0,(IF($DA$7&gt;=$C26+1, (-FV(InflationRate,$DA$7,,$F26)), 0)),0)</f>
        <v>0</v>
      </c>
      <c r="DD26" s="157">
        <f>IF($C26&gt;0,(IF($DA$7&gt;=$C26+1, (-FV(InflationRate,$DA$7,,$G26)), 0)),0)</f>
        <v>0</v>
      </c>
    </row>
    <row r="27" spans="2:108" ht="12.75" customHeight="1" x14ac:dyDescent="0.2">
      <c r="B27" s="183" t="s">
        <v>270</v>
      </c>
      <c r="C27" s="556"/>
      <c r="D27" s="168">
        <f>D12-D14-D15-D18-D19-D22-D23-D26</f>
        <v>0</v>
      </c>
      <c r="E27" s="149">
        <f>E12-E15-E19-E23</f>
        <v>0</v>
      </c>
      <c r="F27" s="149"/>
      <c r="G27" s="149">
        <f>G12-G15-G19-G23</f>
        <v>0</v>
      </c>
      <c r="H27" s="168">
        <f>SUM(I27:AB27)</f>
        <v>0</v>
      </c>
      <c r="I27" s="610">
        <f>-PV(InterestRate,I$8,,(SUM(AC27:AF27)))</f>
        <v>0</v>
      </c>
      <c r="J27" s="610">
        <f>-PV(InterestRate,J$8,,(SUM(AG27:AJ27)))</f>
        <v>0</v>
      </c>
      <c r="K27" s="610">
        <f>-PV(InterestRate,K$8,,(SUM(AK27:AN27)))</f>
        <v>0</v>
      </c>
      <c r="L27" s="610">
        <f>-PV(InterestRate,L$8,,(SUM(AO27:AR27)))</f>
        <v>0</v>
      </c>
      <c r="M27" s="610">
        <f>-PV(InterestRate,M$8,,(SUM(AS27:AV27)))</f>
        <v>0</v>
      </c>
      <c r="N27" s="610">
        <f>-PV(InterestRate,N$8,,(SUM(AW27:AZ27)))</f>
        <v>0</v>
      </c>
      <c r="O27" s="610">
        <f>-PV(InterestRate,O$8,,(SUM(BA27:BD27)))</f>
        <v>0</v>
      </c>
      <c r="P27" s="610">
        <f>-PV(InterestRate,P$8,,(SUM(BE27:BH27)))</f>
        <v>0</v>
      </c>
      <c r="Q27" s="610">
        <f>-PV(InterestRate,Q$8,,(SUM(BI27:BL27)))</f>
        <v>0</v>
      </c>
      <c r="R27" s="610">
        <f>-PV(InterestRate,R$8,,(SUM(BM27:BP27)))</f>
        <v>0</v>
      </c>
      <c r="S27" s="610">
        <f>-PV(InterestRate,S$8,,(SUM(BQ27:BT27)))</f>
        <v>0</v>
      </c>
      <c r="T27" s="610">
        <f>-PV(InterestRate,T$8,,(SUM(BU27:BX27)))</f>
        <v>0</v>
      </c>
      <c r="U27" s="610">
        <f>-PV(InterestRate,U$8,,(SUM(BY27:CB27)))</f>
        <v>0</v>
      </c>
      <c r="V27" s="610">
        <f>-PV(InterestRate,V$8,,(SUM(CC27:CF27)))</f>
        <v>0</v>
      </c>
      <c r="W27" s="610">
        <f>-PV(InterestRate,W$8,,(SUM(CG27:CJ27)))</f>
        <v>0</v>
      </c>
      <c r="X27" s="610">
        <f>-PV(InterestRate,X$8,,(SUM(CK27:CN27)))</f>
        <v>0</v>
      </c>
      <c r="Y27" s="610">
        <f>-PV(InterestRate,Y$8,,(SUM(CO27:CR27)))</f>
        <v>0</v>
      </c>
      <c r="Z27" s="610">
        <f>-PV(InterestRate,Z$8,,(SUM(CS27:CV27)))</f>
        <v>0</v>
      </c>
      <c r="AA27" s="610">
        <f>-PV(InterestRate,AA$8,,(SUM(CW27:CZ27)))</f>
        <v>0</v>
      </c>
      <c r="AB27" s="611">
        <f>-PV(InterestRate,AB$8,,(SUM(DA27:DD27)))</f>
        <v>0</v>
      </c>
      <c r="AC27" s="160">
        <f>IF($C27&gt;0,(IF($C27=$AC$7,$D27,0)),0)</f>
        <v>0</v>
      </c>
      <c r="AD27" s="150">
        <f>IF($C27&gt;0,(IF($AC$7&gt;=$C27+1,$E27,0)),0)</f>
        <v>0</v>
      </c>
      <c r="AE27" s="150">
        <f>IF($C27&gt;0,(IF($C27=$AC$7,$F27,0)),0)</f>
        <v>0</v>
      </c>
      <c r="AF27" s="165">
        <f>IF($C27&gt;0,(IF($AC$7&gt;=$C27+1,$G27,0)),0)</f>
        <v>0</v>
      </c>
      <c r="AG27" s="168">
        <f>IF($C27&gt;0,(IF($C27=$AG$7,(-FV(InflationRate,$AG$7,,$D27)),0)),0)</f>
        <v>0</v>
      </c>
      <c r="AH27" s="149">
        <f>IF($C27&gt;0,(IF($AG$7&gt;=$C27+1, (-FV(InflationRate,$AG$7,,$E27)), 0)),0)</f>
        <v>0</v>
      </c>
      <c r="AI27" s="149">
        <f>IF($C27&gt;0,(IF($AG$7&gt;=$C27+1, (-FV(InflationRate,$AG$7,,$F27)), 0)),0)</f>
        <v>0</v>
      </c>
      <c r="AJ27" s="171">
        <f>IF($C27&gt;0,(IF($AG$7&gt;=$C27+1, (-FV(InflationRate,$AG$7,,$G27)), 0)),0)</f>
        <v>0</v>
      </c>
      <c r="AK27" s="160">
        <f>IF($C27&gt;0,(IF($C27=$AK$7,(-FV(InflationRate,$AK$7,,$D27)),0)),0)</f>
        <v>0</v>
      </c>
      <c r="AL27" s="150">
        <f>IF($C27&gt;0,(IF($AK$7&gt;=$C27+1, (-FV(InflationRate,$AK$7,,$E27)), 0)),0)</f>
        <v>0</v>
      </c>
      <c r="AM27" s="150">
        <f>IF($C27&gt;0,(IF($AK$7&gt;=$C27+1, (-FV(InflationRate,$AK$7,,$F27)), 0)),0)</f>
        <v>0</v>
      </c>
      <c r="AN27" s="165">
        <f>IF($C27&gt;0,(IF($AK$7&gt;=$C27+1, (-FV(InflationRate,$AK$7,,$G27)), 0)),0)</f>
        <v>0</v>
      </c>
      <c r="AO27" s="168">
        <f>IF($C27&gt;0,(IF($C27=$AO$7,(-FV(InflationRate,$AO$7,,$D27)),0)),0)</f>
        <v>0</v>
      </c>
      <c r="AP27" s="149">
        <f>IF($C27&gt;0,(IF($AO$7&gt;=$C27+1, (-FV(InflationRate,$AO$7,,$E27)), 0)),0)</f>
        <v>0</v>
      </c>
      <c r="AQ27" s="149">
        <f>IF($C27&gt;0,(IF($AO$7&gt;=$C27+1, (-FV(InflationRate,$AO$7,,$F27)), 0)),0)</f>
        <v>0</v>
      </c>
      <c r="AR27" s="157">
        <f>IF($C27&gt;0,(IF($AO$7&gt;=$C27+1, (-FV(InflationRate,$AO$7,,$G27)), 0)),0)</f>
        <v>0</v>
      </c>
      <c r="AS27" s="160">
        <f>IF($C27&gt;0,(IF($C27=$AS$7,(-FV(InflationRate,$AS$7,,$D27)),0)),0)</f>
        <v>0</v>
      </c>
      <c r="AT27" s="150">
        <f>IF($C27&gt;0,(IF($AS$7&gt;=$C27+1, (-FV(InflationRate,$AS$7,,$E27)), 0)),0)</f>
        <v>0</v>
      </c>
      <c r="AU27" s="150">
        <f>IF($C27&gt;0,(IF($AS$7&gt;=$C27+1, (-FV(InflationRate,$AS$7,,$F27)), 0)),0)</f>
        <v>0</v>
      </c>
      <c r="AV27" s="165">
        <f>IF($C27&gt;0,(IF($AS$7&gt;=$C27+1, (-FV(InflationRate,$AS$7,,$G27)), 0)),0)</f>
        <v>0</v>
      </c>
      <c r="AW27" s="168">
        <f>IF($C27&gt;0,(IF($C27=$AW$7,(-FV(InflationRate,$AW$7,,$D27)),0)),0)</f>
        <v>0</v>
      </c>
      <c r="AX27" s="149">
        <f>IF($C27&gt;0,(IF($AW$7&gt;=$C27+1, (-FV(InflationRate,$AW$7,,$E27)), 0)),0)</f>
        <v>0</v>
      </c>
      <c r="AY27" s="149">
        <f>IF($C27&gt;0,(IF($AW$7&gt;=$C27+1, (-FV(InflationRate,$AW$7,,$F27)), 0)),0)</f>
        <v>0</v>
      </c>
      <c r="AZ27" s="157">
        <f>IF($C27&gt;0,(IF($AW$7&gt;=$C27+1, (-FV(InflationRate,$AW$7,,$G27)), 0)),0)</f>
        <v>0</v>
      </c>
      <c r="BA27" s="160">
        <f>IF($C27&gt;0,(IF($C27=$BA$7,(-FV(InflationRate,$BA$7,,$D27)),0)),0)</f>
        <v>0</v>
      </c>
      <c r="BB27" s="150">
        <f>IF($C27&gt;0,(IF($BA$7&gt;=$C27+1, (-FV(InflationRate,$BA$7,,$E27)), 0)),0)</f>
        <v>0</v>
      </c>
      <c r="BC27" s="150">
        <f>IF($C27&gt;0,(IF($BA$7&gt;=$C27+1, (-FV(InflationRate,$BA$7,,$F27)), 0)),0)</f>
        <v>0</v>
      </c>
      <c r="BD27" s="176">
        <f>IF($C27&gt;0,(IF($BA$7&gt;=$C27+1, (-FV(InflationRate,$BA$7,,$G27)), 0)),0)</f>
        <v>0</v>
      </c>
      <c r="BE27" s="168">
        <f>IF($C27&gt;0,(IF($C27=$BE$7,(-FV(InflationRate,$BE$7,,$D27)),0)),0)</f>
        <v>0</v>
      </c>
      <c r="BF27" s="149">
        <f>IF($C27&gt;0,(IF($BE$7&gt;=$C27+1, (-FV(InflationRate,$BE$7,,$E27)), 0)),0)</f>
        <v>0</v>
      </c>
      <c r="BG27" s="149">
        <f>IF($C27&gt;0,(IF($BE$7&gt;=$C27+1, (-FV(InflationRate,$BE$7,,$F27)), 0)),0)</f>
        <v>0</v>
      </c>
      <c r="BH27" s="171">
        <f>IF($C27&gt;0,(IF($BE$7&gt;=$C27+1, (-FV(InflationRate,$BE$7,,$G27)), 0)),0)</f>
        <v>0</v>
      </c>
      <c r="BI27" s="160">
        <f>IF($C27&gt;0,(IF($C27=$BI$7,(-FV(InflationRate,$BI$7,,$D27)),0)),0)</f>
        <v>0</v>
      </c>
      <c r="BJ27" s="150">
        <f>IF($C27&gt;0,(IF($BI$7&gt;=$C27+1, (-FV(InflationRate,$BI$7,,$E27)), 0)),0)</f>
        <v>0</v>
      </c>
      <c r="BK27" s="150">
        <f>IF($C27&gt;0,(IF($BI$7&gt;=$C27+1, (-FV(InflationRate,$BI$7,,$F27)), 0)),0)</f>
        <v>0</v>
      </c>
      <c r="BL27" s="176">
        <f>IF($C27&gt;0,(IF($BI$7&gt;=$C27+1, (-FV(InflationRate,$BI$7,,$G27)), 0)),0)</f>
        <v>0</v>
      </c>
      <c r="BM27" s="168">
        <f>IF($C27&gt;0,(IF($C27=$BM$7,(-FV(InflationRate,$BM$7,,$D27)),0)),0)</f>
        <v>0</v>
      </c>
      <c r="BN27" s="149">
        <f>IF($C27&gt;0,(IF($BM$7&gt;=$C27+1, (-FV(InflationRate,$BM$7,,$E27)), 0)),0)</f>
        <v>0</v>
      </c>
      <c r="BO27" s="149">
        <f>IF($C27&gt;0,(IF($BM$7&gt;=$C27+1, (-FV(InflationRate,$BM$7,,$F27)), 0)),0)</f>
        <v>0</v>
      </c>
      <c r="BP27" s="157">
        <f>IF($C27&gt;0,(IF($BM$7&gt;=$C27+1, (-FV(InflationRate,$BM$7,,$G27)), 0)),0)</f>
        <v>0</v>
      </c>
      <c r="BQ27" s="160">
        <f>IF($C27&gt;0,(IF($C27=$BQ$7,(-FV(InflationRate,$BQ$7,,$D27)),0)),0)</f>
        <v>0</v>
      </c>
      <c r="BR27" s="150">
        <f>IF($C27&gt;0,(IF($BQ$7&gt;=$C27+1, (-FV(InflationRate,$BQ$7,,$E27)), 0)),0)</f>
        <v>0</v>
      </c>
      <c r="BS27" s="150">
        <f>IF($C27&gt;0,(IF($BQ$7&gt;=$C27+1, (-FV(InflationRate,$BQ$7,,$F27)), 0)),0)</f>
        <v>0</v>
      </c>
      <c r="BT27" s="176">
        <f>IF($C27&gt;0,(IF($BQ$7&gt;=$C27+1, (-FV(InflationRate,$BQ$7,,$G27)), 0)),0)</f>
        <v>0</v>
      </c>
      <c r="BU27" s="168">
        <f>IF($C27&gt;0,(IF($C27=$BU$7,(-FV(InflationRate,$BU$7,,$D27)),0)),0)</f>
        <v>0</v>
      </c>
      <c r="BV27" s="149">
        <f>IF($C27&gt;0,(IF($BU$7&gt;=$C27+1, (-FV(InflationRate,$BU$7,,$E27)), 0)),0)</f>
        <v>0</v>
      </c>
      <c r="BW27" s="149">
        <f>IF($C27&gt;0,(IF($BU$7&gt;=$C27+1, (-FV(InflationRate,$BU$7,,$F27)), 0)),0)</f>
        <v>0</v>
      </c>
      <c r="BX27" s="157">
        <f>IF($C27&gt;0,(IF($BU$7&gt;=$C27+1, (-FV(InflationRate,$BU$7,,$G27)), 0)),0)</f>
        <v>0</v>
      </c>
      <c r="BY27" s="160">
        <f>IF($C27&gt;0,(IF($C27=$BY$7,(-FV(InflationRate,$BY$7,,$D27)),0)),0)</f>
        <v>0</v>
      </c>
      <c r="BZ27" s="150">
        <f>IF($C27&gt;0,(IF($BY$7&gt;=$C27+1, (-FV(InflationRate,$BY$7,,$E27)), 0)),0)</f>
        <v>0</v>
      </c>
      <c r="CA27" s="150">
        <f>IF($C27&gt;0,(IF($BY$7&gt;=$C27+1, (-FV(InflationRate,$BY$7,,$F27)), 0)),0)</f>
        <v>0</v>
      </c>
      <c r="CB27" s="176">
        <f>IF($C27&gt;0,(IF($BY$7&gt;=$C27+1, (-FV(InflationRate,$BY$7,,$G27)), 0)),0)</f>
        <v>0</v>
      </c>
      <c r="CC27" s="168">
        <f>IF($C27&gt;0,(IF($C27=$CC$7,(-FV(InflationRate,$CC$7,,$D27)),0)),0)</f>
        <v>0</v>
      </c>
      <c r="CD27" s="149">
        <f>IF($C27&gt;0,(IF($CC$7&gt;=$C27+1, (-FV(InflationRate,$CC$7,,$E27)), 0)),0)</f>
        <v>0</v>
      </c>
      <c r="CE27" s="149">
        <f>IF($C27&gt;0,(IF($CC$7&gt;=$C27+1, (-FV(InflationRate,$CC$7,,$F27)), 0)),0)</f>
        <v>0</v>
      </c>
      <c r="CF27" s="157">
        <f>IF($C27&gt;0,(IF($CC$7&gt;=$C27+1, (-FV(InflationRate,$CC$7,,$G27)), 0)),0)</f>
        <v>0</v>
      </c>
      <c r="CG27" s="160">
        <f>IF($C27&gt;0,(IF($C27=$CG$7,(-FV(InflationRate,$CG$7,,$D27)),0)),0)</f>
        <v>0</v>
      </c>
      <c r="CH27" s="150">
        <f>IF($C27&gt;0,(IF($CG$7&gt;=$C27+1, (-FV(InflationRate,$CG$7,,$E27)), 0)),0)</f>
        <v>0</v>
      </c>
      <c r="CI27" s="150">
        <f>IF($C27&gt;0,(IF($CG$7&gt;=$C27+1, (-FV(InflationRate,$CG$7,,$F27)), 0)),0)</f>
        <v>0</v>
      </c>
      <c r="CJ27" s="176">
        <f>IF($C27&gt;0,(IF($CG$7&gt;=$C27+1, (-FV(InflationRate,$CG$7,,$G27)), 0)),0)</f>
        <v>0</v>
      </c>
      <c r="CK27" s="168">
        <f>IF($C27&gt;0,(IF($C27=$CK$7,(-FV(InflationRate,$CK$7,,$D27)),0)),0)</f>
        <v>0</v>
      </c>
      <c r="CL27" s="149">
        <f>IF($C27&gt;0,(IF($CK$7&gt;=$C27+1, (-FV(InflationRate,$CK$7,,$E27)), 0)),0)</f>
        <v>0</v>
      </c>
      <c r="CM27" s="149">
        <f>IF($C27&gt;0,(IF($CK$7&gt;=$C27+1, (-FV(InflationRate,$CK$7,,$F27)), 0)),0)</f>
        <v>0</v>
      </c>
      <c r="CN27" s="157">
        <f>IF($C27&gt;0,(IF($CK$7&gt;=$C27+1, (-FV(InflationRate,$CK$7,,$G27)), 0)),0)</f>
        <v>0</v>
      </c>
      <c r="CO27" s="160">
        <f>IF($C27&gt;0,(IF($C27=$CO$7,(-FV(InflationRate,$CO$7,,$D27)),0)),0)</f>
        <v>0</v>
      </c>
      <c r="CP27" s="150">
        <f>IF($C27&gt;0,(IF($CO$7&gt;=$C27+1, (-FV(InflationRate,$CO$7,,$E27)), 0)),0)</f>
        <v>0</v>
      </c>
      <c r="CQ27" s="150">
        <f>IF($C27&gt;0,(IF($CO$7&gt;=$C27+1, (-FV(InflationRate,$CO$7,,$F27)), 0)),0)</f>
        <v>0</v>
      </c>
      <c r="CR27" s="176">
        <f>IF($C27&gt;0,(IF($CO$7&gt;=$C27+1, (-FV(InflationRate,$CO$7,,$G27)), 0)),0)</f>
        <v>0</v>
      </c>
      <c r="CS27" s="168">
        <f>IF($C27&gt;0,(IF($C27=$CS$7,(-FV(InflationRate,$CS$7,,$D27)),0)),0)</f>
        <v>0</v>
      </c>
      <c r="CT27" s="149">
        <f>IF($C27&gt;0,(IF($CS$7&gt;=$C27+1, (-FV(InflationRate,$CS$7,,$E27)), 0)),0)</f>
        <v>0</v>
      </c>
      <c r="CU27" s="149">
        <f>IF($C27&gt;0,(IF($CS$7&gt;=$C27+1, (-FV(InflationRate,$CS$7,,$F27)), 0)),0)</f>
        <v>0</v>
      </c>
      <c r="CV27" s="157">
        <f>IF($C27&gt;0,(IF($CS$7&gt;=$C27+1, (-FV(InflationRate,$CS$7,,$G27)), 0)),0)</f>
        <v>0</v>
      </c>
      <c r="CW27" s="160">
        <f>IF($C27&gt;0,(IF($C27=$CW$7,(-FV(InflationRate,$CW$7,,$D27)),0)),0)</f>
        <v>0</v>
      </c>
      <c r="CX27" s="150">
        <f>IF($C27&gt;0,(IF($CW$7&gt;=$C27+1, (-FV(InflationRate,$CW$7,,$E27)), 0)),0)</f>
        <v>0</v>
      </c>
      <c r="CY27" s="150">
        <f>IF($C27&gt;0,(IF($CW$7&gt;=$C27+1, (-FV(InflationRate,$CW$7,,$F27)), 0)),0)</f>
        <v>0</v>
      </c>
      <c r="CZ27" s="176">
        <f>IF($C27&gt;0,(IF($CW$7&gt;=$C27+1, (-FV(InflationRate,$CW$7,,$G27)), 0)),0)</f>
        <v>0</v>
      </c>
      <c r="DA27" s="168">
        <f>IF($C27&gt;0,(IF($C27=$DA$7,(-FV(InflationRate,$DA$7,,$D27)),0)),0)</f>
        <v>0</v>
      </c>
      <c r="DB27" s="149">
        <f>IF($C27&gt;0,(IF($DA$7&gt;=$C27+1, (-FV(InflationRate,$DA$7,,$E27)), 0)),0)</f>
        <v>0</v>
      </c>
      <c r="DC27" s="149">
        <f>IF($C27&gt;0,(IF($DA$7&gt;=$C27+1, (-FV(InflationRate,$DA$7,,$F27)), 0)),0)</f>
        <v>0</v>
      </c>
      <c r="DD27" s="157">
        <f>IF($C27&gt;0,(IF($DA$7&gt;=$C27+1, (-FV(InflationRate,$DA$7,,$G27)), 0)),0)</f>
        <v>0</v>
      </c>
    </row>
    <row r="28" spans="2:108" ht="12.75" customHeight="1" x14ac:dyDescent="0.2">
      <c r="B28" s="183" t="s">
        <v>203</v>
      </c>
      <c r="C28" s="556"/>
      <c r="D28" s="168"/>
      <c r="E28" s="149"/>
      <c r="F28" s="149">
        <f>F12-F16-F20-F24</f>
        <v>0</v>
      </c>
      <c r="G28" s="149"/>
      <c r="H28" s="168">
        <f>SUM(I28:AB28)</f>
        <v>0</v>
      </c>
      <c r="I28" s="610">
        <f>-PV(InterestRate,I$8,,(SUM(AC28:AF28)))</f>
        <v>0</v>
      </c>
      <c r="J28" s="610">
        <f>-PV(InterestRate,J$8,,(SUM(AG28:AJ28)))</f>
        <v>0</v>
      </c>
      <c r="K28" s="610">
        <f>-PV(InterestRate,K$8,,(SUM(AK28:AN28)))</f>
        <v>0</v>
      </c>
      <c r="L28" s="610">
        <f>-PV(InterestRate,L$8,,(SUM(AO28:AR28)))</f>
        <v>0</v>
      </c>
      <c r="M28" s="610">
        <f>-PV(InterestRate,M$8,,(SUM(AS28:AV28)))</f>
        <v>0</v>
      </c>
      <c r="N28" s="610">
        <f>-PV(InterestRate,N$8,,(SUM(AW28:AZ28)))</f>
        <v>0</v>
      </c>
      <c r="O28" s="610">
        <f>-PV(InterestRate,O$8,,(SUM(BA28:BD28)))</f>
        <v>0</v>
      </c>
      <c r="P28" s="610">
        <f>-PV(InterestRate,P$8,,(SUM(BE28:BH28)))</f>
        <v>0</v>
      </c>
      <c r="Q28" s="610">
        <f>-PV(InterestRate,Q$8,,(SUM(BI28:BL28)))</f>
        <v>0</v>
      </c>
      <c r="R28" s="610">
        <f>-PV(InterestRate,R$8,,(SUM(BM28:BP28)))</f>
        <v>0</v>
      </c>
      <c r="S28" s="610">
        <f>-PV(InterestRate,S$8,,(SUM(BQ28:BT28)))</f>
        <v>0</v>
      </c>
      <c r="T28" s="610">
        <f>-PV(InterestRate,T$8,,(SUM(BU28:BX28)))</f>
        <v>0</v>
      </c>
      <c r="U28" s="610">
        <f>-PV(InterestRate,U$8,,(SUM(BY28:CB28)))</f>
        <v>0</v>
      </c>
      <c r="V28" s="610">
        <f>-PV(InterestRate,V$8,,(SUM(CC28:CF28)))</f>
        <v>0</v>
      </c>
      <c r="W28" s="610">
        <f>-PV(InterestRate,W$8,,(SUM(CG28:CJ28)))</f>
        <v>0</v>
      </c>
      <c r="X28" s="610">
        <f>-PV(InterestRate,X$8,,(SUM(CK28:CN28)))</f>
        <v>0</v>
      </c>
      <c r="Y28" s="610">
        <f>-PV(InterestRate,Y$8,,(SUM(CO28:CR28)))</f>
        <v>0</v>
      </c>
      <c r="Z28" s="610">
        <f>-PV(InterestRate,Z$8,,(SUM(CS28:CV28)))</f>
        <v>0</v>
      </c>
      <c r="AA28" s="610">
        <f>-PV(InterestRate,AA$8,,(SUM(CW28:CZ28)))</f>
        <v>0</v>
      </c>
      <c r="AB28" s="611">
        <f>-PV(InterestRate,AB$8,,(SUM(DA28:DD28)))</f>
        <v>0</v>
      </c>
      <c r="AC28" s="160">
        <f>IF($C28&gt;0,(IF($C28=$AC$7,$D28,0)),0)</f>
        <v>0</v>
      </c>
      <c r="AD28" s="150">
        <f>IF($C28&gt;0,(IF($AC$7&gt;=$C28+1,$E28,0)),0)</f>
        <v>0</v>
      </c>
      <c r="AE28" s="150">
        <f>IF($C28&gt;0,(IF($C28=$AC$7,$F28,0)),0)</f>
        <v>0</v>
      </c>
      <c r="AF28" s="165">
        <f>IF($C28&gt;0,(IF($AC$7&gt;=$C28+1,$G28,0)),0)</f>
        <v>0</v>
      </c>
      <c r="AG28" s="168">
        <f>IF($C28&gt;0,(IF($C28=$AG$7,(-FV(InflationRate,$AG$7,,$D28)),0)),0)</f>
        <v>0</v>
      </c>
      <c r="AH28" s="149">
        <f>IF($C28&gt;0,(IF($AG$7&gt;=$C28+1, (-FV(InflationRate,$AG$7,,$E28)), 0)),0)</f>
        <v>0</v>
      </c>
      <c r="AI28" s="149">
        <f>IF($C28&gt;0,(IF($AG$7&gt;=$C28+1, (-FV(InflationRate,$AG$7,,$F28)), 0)),0)</f>
        <v>0</v>
      </c>
      <c r="AJ28" s="171">
        <f>IF($C28&gt;0,(IF($AG$7&gt;=$C28+1, (-FV(InflationRate,$AG$7,,$G28)), 0)),0)</f>
        <v>0</v>
      </c>
      <c r="AK28" s="160">
        <f>IF($C28&gt;0,(IF($C28=$AK$7,(-FV(InflationRate,$AK$7,,$D28)),0)),0)</f>
        <v>0</v>
      </c>
      <c r="AL28" s="150">
        <f>IF($C28&gt;0,(IF($AK$7&gt;=$C28+1, (-FV(InflationRate,$AK$7,,$E28)), 0)),0)</f>
        <v>0</v>
      </c>
      <c r="AM28" s="150">
        <f>IF($C28&gt;0,(IF($AK$7&gt;=$C28+1, (-FV(InflationRate,$AK$7,,$F28)), 0)),0)</f>
        <v>0</v>
      </c>
      <c r="AN28" s="165">
        <f>IF($C28&gt;0,(IF($AK$7&gt;=$C28+1, (-FV(InflationRate,$AK$7,,$G28)), 0)),0)</f>
        <v>0</v>
      </c>
      <c r="AO28" s="168">
        <f>IF($C28&gt;0,(IF($C28=$AO$7,(-FV(InflationRate,$AO$7,,$D28)),0)),0)</f>
        <v>0</v>
      </c>
      <c r="AP28" s="149">
        <f>IF($C28&gt;0,(IF($AO$7&gt;=$C28+1, (-FV(InflationRate,$AO$7,,$E28)), 0)),0)</f>
        <v>0</v>
      </c>
      <c r="AQ28" s="149">
        <f>IF($C28&gt;0,(IF($AO$7&gt;=$C28+1, (-FV(InflationRate,$AO$7,,$F28)), 0)),0)</f>
        <v>0</v>
      </c>
      <c r="AR28" s="157">
        <f>IF($C28&gt;0,(IF($AO$7&gt;=$C28+1, (-FV(InflationRate,$AO$7,,$G28)), 0)),0)</f>
        <v>0</v>
      </c>
      <c r="AS28" s="160">
        <f>IF($C28&gt;0,(IF($C28=$AS$7,(-FV(InflationRate,$AS$7,,$D28)),0)),0)</f>
        <v>0</v>
      </c>
      <c r="AT28" s="150">
        <f>IF($C28&gt;0,(IF($AS$7&gt;=$C28+1, (-FV(InflationRate,$AS$7,,$E28)), 0)),0)</f>
        <v>0</v>
      </c>
      <c r="AU28" s="150">
        <f>IF($C28&gt;0,(IF($AS$7&gt;=$C28+1, (-FV(InflationRate,$AS$7,,$F28)), 0)),0)</f>
        <v>0</v>
      </c>
      <c r="AV28" s="165">
        <f>IF($C28&gt;0,(IF($AS$7&gt;=$C28+1, (-FV(InflationRate,$AS$7,,$G28)), 0)),0)</f>
        <v>0</v>
      </c>
      <c r="AW28" s="168">
        <f>IF($C28&gt;0,(IF($C28=$AW$7,(-FV(InflationRate,$AW$7,,$D28)),0)),0)</f>
        <v>0</v>
      </c>
      <c r="AX28" s="149">
        <f>IF($C28&gt;0,(IF($AW$7&gt;=$C28+1, (-FV(InflationRate,$AW$7,,$E28)), 0)),0)</f>
        <v>0</v>
      </c>
      <c r="AY28" s="149">
        <f>IF($C28&gt;0,(IF($AW$7&gt;=$C28+1, (-FV(InflationRate,$AW$7,,$F28)), 0)),0)</f>
        <v>0</v>
      </c>
      <c r="AZ28" s="157">
        <f>IF($C28&gt;0,(IF($AW$7&gt;=$C28+1, (-FV(InflationRate,$AW$7,,$G28)), 0)),0)</f>
        <v>0</v>
      </c>
      <c r="BA28" s="160">
        <f>IF($C28&gt;0,(IF($C28=$BA$7,(-FV(InflationRate,$BA$7,,$D28)),0)),0)</f>
        <v>0</v>
      </c>
      <c r="BB28" s="150">
        <f>IF($C28&gt;0,(IF($BA$7&gt;=$C28+1, (-FV(InflationRate,$BA$7,,$E28)), 0)),0)</f>
        <v>0</v>
      </c>
      <c r="BC28" s="150">
        <f>IF($C28&gt;0,(IF($BA$7&gt;=$C28+1, (-FV(InflationRate,$BA$7,,$F28)), 0)),0)</f>
        <v>0</v>
      </c>
      <c r="BD28" s="176">
        <f>IF($C28&gt;0,(IF($BA$7&gt;=$C28+1, (-FV(InflationRate,$BA$7,,$G28)), 0)),0)</f>
        <v>0</v>
      </c>
      <c r="BE28" s="168">
        <f>IF($C28&gt;0,(IF($C28=$BE$7,(-FV(InflationRate,$BE$7,,$D28)),0)),0)</f>
        <v>0</v>
      </c>
      <c r="BF28" s="149">
        <f>IF($C28&gt;0,(IF($BE$7&gt;=$C28+1, (-FV(InflationRate,$BE$7,,$E28)), 0)),0)</f>
        <v>0</v>
      </c>
      <c r="BG28" s="149">
        <f>IF($C28&gt;0,(IF($BE$7&gt;=$C28+1, (-FV(InflationRate,$BE$7,,$F28)), 0)),0)</f>
        <v>0</v>
      </c>
      <c r="BH28" s="171">
        <f>IF($C28&gt;0,(IF($BE$7&gt;=$C28+1, (-FV(InflationRate,$BE$7,,$G28)), 0)),0)</f>
        <v>0</v>
      </c>
      <c r="BI28" s="160">
        <f>IF($C28&gt;0,(IF($C28=$BI$7,(-FV(InflationRate,$BI$7,,$D28)),0)),0)</f>
        <v>0</v>
      </c>
      <c r="BJ28" s="150">
        <f>IF($C28&gt;0,(IF($BI$7&gt;=$C28+1, (-FV(InflationRate,$BI$7,,$E28)), 0)),0)</f>
        <v>0</v>
      </c>
      <c r="BK28" s="150">
        <f>IF($C28&gt;0,(IF($BI$7&gt;=$C28+1, (-FV(InflationRate,$BI$7,,$F28)), 0)),0)</f>
        <v>0</v>
      </c>
      <c r="BL28" s="176">
        <f>IF($C28&gt;0,(IF($BI$7&gt;=$C28+1, (-FV(InflationRate,$BI$7,,$G28)), 0)),0)</f>
        <v>0</v>
      </c>
      <c r="BM28" s="168">
        <f>IF($C28&gt;0,(IF($C28=$BM$7,(-FV(InflationRate,$BM$7,,$D28)),0)),0)</f>
        <v>0</v>
      </c>
      <c r="BN28" s="149">
        <f>IF($C28&gt;0,(IF($BM$7&gt;=$C28+1, (-FV(InflationRate,$BM$7,,$E28)), 0)),0)</f>
        <v>0</v>
      </c>
      <c r="BO28" s="149">
        <f>IF($C28&gt;0,(IF($BM$7&gt;=$C28+1, (-FV(InflationRate,$BM$7,,$F28)), 0)),0)</f>
        <v>0</v>
      </c>
      <c r="BP28" s="157">
        <f>IF($C28&gt;0,(IF($BM$7&gt;=$C28+1, (-FV(InflationRate,$BM$7,,$G28)), 0)),0)</f>
        <v>0</v>
      </c>
      <c r="BQ28" s="160">
        <f>IF($C28&gt;0,(IF($C28=$BQ$7,(-FV(InflationRate,$BQ$7,,$D28)),0)),0)</f>
        <v>0</v>
      </c>
      <c r="BR28" s="150">
        <f>IF($C28&gt;0,(IF($BQ$7&gt;=$C28+1, (-FV(InflationRate,$BQ$7,,$E28)), 0)),0)</f>
        <v>0</v>
      </c>
      <c r="BS28" s="150">
        <f>IF($C28&gt;0,(IF($BQ$7&gt;=$C28+1, (-FV(InflationRate,$BQ$7,,$F28)), 0)),0)</f>
        <v>0</v>
      </c>
      <c r="BT28" s="176">
        <f>IF($C28&gt;0,(IF($BQ$7&gt;=$C28+1, (-FV(InflationRate,$BQ$7,,$G28)), 0)),0)</f>
        <v>0</v>
      </c>
      <c r="BU28" s="168">
        <f>IF($C28&gt;0,(IF($C28=$BU$7,(-FV(InflationRate,$BU$7,,$D28)),0)),0)</f>
        <v>0</v>
      </c>
      <c r="BV28" s="149">
        <f>IF($C28&gt;0,(IF($BU$7&gt;=$C28+1, (-FV(InflationRate,$BU$7,,$E28)), 0)),0)</f>
        <v>0</v>
      </c>
      <c r="BW28" s="149">
        <f>IF($C28&gt;0,(IF($BU$7&gt;=$C28+1, (-FV(InflationRate,$BU$7,,$F28)), 0)),0)</f>
        <v>0</v>
      </c>
      <c r="BX28" s="157">
        <f>IF($C28&gt;0,(IF($BU$7&gt;=$C28+1, (-FV(InflationRate,$BU$7,,$G28)), 0)),0)</f>
        <v>0</v>
      </c>
      <c r="BY28" s="160">
        <f>IF($C28&gt;0,(IF($C28=$BY$7,(-FV(InflationRate,$BY$7,,$D28)),0)),0)</f>
        <v>0</v>
      </c>
      <c r="BZ28" s="150">
        <f>IF($C28&gt;0,(IF($BY$7&gt;=$C28+1, (-FV(InflationRate,$BY$7,,$E28)), 0)),0)</f>
        <v>0</v>
      </c>
      <c r="CA28" s="150">
        <f>IF($C28&gt;0,(IF($BY$7&gt;=$C28+1, (-FV(InflationRate,$BY$7,,$F28)), 0)),0)</f>
        <v>0</v>
      </c>
      <c r="CB28" s="176">
        <f>IF($C28&gt;0,(IF($BY$7&gt;=$C28+1, (-FV(InflationRate,$BY$7,,$G28)), 0)),0)</f>
        <v>0</v>
      </c>
      <c r="CC28" s="168">
        <f>IF($C28&gt;0,(IF($C28=$CC$7,(-FV(InflationRate,$CC$7,,$D28)),0)),0)</f>
        <v>0</v>
      </c>
      <c r="CD28" s="149">
        <f>IF($C28&gt;0,(IF($CC$7&gt;=$C28+1, (-FV(InflationRate,$CC$7,,$E28)), 0)),0)</f>
        <v>0</v>
      </c>
      <c r="CE28" s="149">
        <f>IF($C28&gt;0,(IF($CC$7&gt;=$C28+1, (-FV(InflationRate,$CC$7,,$F28)), 0)),0)</f>
        <v>0</v>
      </c>
      <c r="CF28" s="157">
        <f>IF($C28&gt;0,(IF($CC$7&gt;=$C28+1, (-FV(InflationRate,$CC$7,,$G28)), 0)),0)</f>
        <v>0</v>
      </c>
      <c r="CG28" s="160">
        <f>IF($C28&gt;0,(IF($C28=$CG$7,(-FV(InflationRate,$CG$7,,$D28)),0)),0)</f>
        <v>0</v>
      </c>
      <c r="CH28" s="150">
        <f>IF($C28&gt;0,(IF($CG$7&gt;=$C28+1, (-FV(InflationRate,$CG$7,,$E28)), 0)),0)</f>
        <v>0</v>
      </c>
      <c r="CI28" s="150">
        <f>IF($C28&gt;0,(IF($CG$7&gt;=$C28+1, (-FV(InflationRate,$CG$7,,$F28)), 0)),0)</f>
        <v>0</v>
      </c>
      <c r="CJ28" s="176">
        <f>IF($C28&gt;0,(IF($CG$7&gt;=$C28+1, (-FV(InflationRate,$CG$7,,$G28)), 0)),0)</f>
        <v>0</v>
      </c>
      <c r="CK28" s="168">
        <f>IF($C28&gt;0,(IF($C28=$CK$7,(-FV(InflationRate,$CK$7,,$D28)),0)),0)</f>
        <v>0</v>
      </c>
      <c r="CL28" s="149">
        <f>IF($C28&gt;0,(IF($CK$7&gt;=$C28+1, (-FV(InflationRate,$CK$7,,$E28)), 0)),0)</f>
        <v>0</v>
      </c>
      <c r="CM28" s="149">
        <f>IF($C28&gt;0,(IF($CK$7&gt;=$C28+1, (-FV(InflationRate,$CK$7,,$F28)), 0)),0)</f>
        <v>0</v>
      </c>
      <c r="CN28" s="157">
        <f>IF($C28&gt;0,(IF($CK$7&gt;=$C28+1, (-FV(InflationRate,$CK$7,,$G28)), 0)),0)</f>
        <v>0</v>
      </c>
      <c r="CO28" s="160">
        <f>IF($C28&gt;0,(IF($C28=$CO$7,(-FV(InflationRate,$CO$7,,$D28)),0)),0)</f>
        <v>0</v>
      </c>
      <c r="CP28" s="150">
        <f>IF($C28&gt;0,(IF($CO$7&gt;=$C28+1, (-FV(InflationRate,$CO$7,,$E28)), 0)),0)</f>
        <v>0</v>
      </c>
      <c r="CQ28" s="150">
        <f>IF($C28&gt;0,(IF($CO$7&gt;=$C28+1, (-FV(InflationRate,$CO$7,,$F28)), 0)),0)</f>
        <v>0</v>
      </c>
      <c r="CR28" s="176">
        <f>IF($C28&gt;0,(IF($CO$7&gt;=$C28+1, (-FV(InflationRate,$CO$7,,$G28)), 0)),0)</f>
        <v>0</v>
      </c>
      <c r="CS28" s="168">
        <f>IF($C28&gt;0,(IF($C28=$CS$7,(-FV(InflationRate,$CS$7,,$D28)),0)),0)</f>
        <v>0</v>
      </c>
      <c r="CT28" s="149">
        <f>IF($C28&gt;0,(IF($CS$7&gt;=$C28+1, (-FV(InflationRate,$CS$7,,$E28)), 0)),0)</f>
        <v>0</v>
      </c>
      <c r="CU28" s="149">
        <f>IF($C28&gt;0,(IF($CS$7&gt;=$C28+1, (-FV(InflationRate,$CS$7,,$F28)), 0)),0)</f>
        <v>0</v>
      </c>
      <c r="CV28" s="157">
        <f>IF($C28&gt;0,(IF($CS$7&gt;=$C28+1, (-FV(InflationRate,$CS$7,,$G28)), 0)),0)</f>
        <v>0</v>
      </c>
      <c r="CW28" s="160">
        <f>IF($C28&gt;0,(IF($C28=$CW$7,(-FV(InflationRate,$CW$7,,$D28)),0)),0)</f>
        <v>0</v>
      </c>
      <c r="CX28" s="150">
        <f>IF($C28&gt;0,(IF($CW$7&gt;=$C28+1, (-FV(InflationRate,$CW$7,,$E28)), 0)),0)</f>
        <v>0</v>
      </c>
      <c r="CY28" s="150">
        <f>IF($C28&gt;0,(IF($CW$7&gt;=$C28+1, (-FV(InflationRate,$CW$7,,$F28)), 0)),0)</f>
        <v>0</v>
      </c>
      <c r="CZ28" s="176">
        <f>IF($C28&gt;0,(IF($CW$7&gt;=$C28+1, (-FV(InflationRate,$CW$7,,$G28)), 0)),0)</f>
        <v>0</v>
      </c>
      <c r="DA28" s="168">
        <f>IF($C28&gt;0,(IF($C28=$DA$7,(-FV(InflationRate,$DA$7,,$D28)),0)),0)</f>
        <v>0</v>
      </c>
      <c r="DB28" s="149">
        <f>IF($C28&gt;0,(IF($DA$7&gt;=$C28+1, (-FV(InflationRate,$DA$7,,$E28)), 0)),0)</f>
        <v>0</v>
      </c>
      <c r="DC28" s="149">
        <f>IF($C28&gt;0,(IF($DA$7&gt;=$C28+1, (-FV(InflationRate,$DA$7,,$F28)), 0)),0)</f>
        <v>0</v>
      </c>
      <c r="DD28" s="157">
        <f>IF($C28&gt;0,(IF($DA$7&gt;=$C28+1, (-FV(InflationRate,$DA$7,,$G28)), 0)),0)</f>
        <v>0</v>
      </c>
    </row>
    <row r="29" spans="2:108" ht="12.75" customHeight="1" x14ac:dyDescent="0.2">
      <c r="B29" s="181"/>
      <c r="C29" s="189"/>
      <c r="D29" s="168"/>
      <c r="E29" s="149"/>
      <c r="F29" s="149"/>
      <c r="G29" s="149"/>
      <c r="H29" s="168"/>
      <c r="I29" s="600"/>
      <c r="J29" s="600"/>
      <c r="K29" s="600"/>
      <c r="L29" s="600"/>
      <c r="M29" s="600"/>
      <c r="N29" s="600"/>
      <c r="O29" s="600"/>
      <c r="P29" s="600"/>
      <c r="Q29" s="600"/>
      <c r="R29" s="600"/>
      <c r="S29" s="600"/>
      <c r="T29" s="600"/>
      <c r="U29" s="600"/>
      <c r="V29" s="600"/>
      <c r="W29" s="600"/>
      <c r="X29" s="600"/>
      <c r="Y29" s="600"/>
      <c r="Z29" s="600"/>
      <c r="AA29" s="600"/>
      <c r="AB29" s="601"/>
      <c r="AC29" s="160"/>
      <c r="AD29" s="150"/>
      <c r="AE29" s="150"/>
      <c r="AF29" s="165"/>
      <c r="AG29" s="168"/>
      <c r="AH29" s="149"/>
      <c r="AI29" s="149"/>
      <c r="AJ29" s="171"/>
      <c r="AK29" s="160"/>
      <c r="AL29" s="150"/>
      <c r="AM29" s="150"/>
      <c r="AN29" s="165"/>
      <c r="AO29" s="168"/>
      <c r="AP29" s="149"/>
      <c r="AQ29" s="149"/>
      <c r="AR29" s="157"/>
      <c r="AS29" s="160"/>
      <c r="AT29" s="150"/>
      <c r="AU29" s="150"/>
      <c r="AV29" s="165"/>
      <c r="AW29" s="168"/>
      <c r="AX29" s="149"/>
      <c r="AY29" s="149"/>
      <c r="AZ29" s="157"/>
      <c r="BA29" s="160"/>
      <c r="BB29" s="150"/>
      <c r="BC29" s="150"/>
      <c r="BD29" s="176"/>
      <c r="BE29" s="168"/>
      <c r="BF29" s="149"/>
      <c r="BG29" s="149"/>
      <c r="BH29" s="171"/>
      <c r="BI29" s="160"/>
      <c r="BJ29" s="150"/>
      <c r="BK29" s="150"/>
      <c r="BL29" s="176"/>
      <c r="BM29" s="168"/>
      <c r="BN29" s="149"/>
      <c r="BO29" s="149"/>
      <c r="BP29" s="157"/>
      <c r="BQ29" s="160"/>
      <c r="BR29" s="150"/>
      <c r="BS29" s="150"/>
      <c r="BT29" s="176"/>
      <c r="BU29" s="168"/>
      <c r="BV29" s="149"/>
      <c r="BW29" s="149"/>
      <c r="BX29" s="157"/>
      <c r="BY29" s="160"/>
      <c r="BZ29" s="150"/>
      <c r="CA29" s="150"/>
      <c r="CB29" s="176"/>
      <c r="CC29" s="168"/>
      <c r="CD29" s="149"/>
      <c r="CE29" s="149"/>
      <c r="CF29" s="157"/>
      <c r="CG29" s="160"/>
      <c r="CH29" s="150"/>
      <c r="CI29" s="150"/>
      <c r="CJ29" s="176"/>
      <c r="CK29" s="168"/>
      <c r="CL29" s="149"/>
      <c r="CM29" s="149"/>
      <c r="CN29" s="157"/>
      <c r="CO29" s="160"/>
      <c r="CP29" s="150"/>
      <c r="CQ29" s="150"/>
      <c r="CR29" s="176"/>
      <c r="CS29" s="168"/>
      <c r="CT29" s="149"/>
      <c r="CU29" s="149"/>
      <c r="CV29" s="157"/>
      <c r="CW29" s="160"/>
      <c r="CX29" s="150"/>
      <c r="CY29" s="150"/>
      <c r="CZ29" s="176"/>
      <c r="DA29" s="168"/>
      <c r="DB29" s="149"/>
      <c r="DC29" s="149"/>
      <c r="DD29" s="157"/>
    </row>
    <row r="30" spans="2:108" ht="12.75" customHeight="1" x14ac:dyDescent="0.2">
      <c r="B30" s="181" t="str">
        <f>'WWTF - Downtown'!B5</f>
        <v>Wastewater Treatment Facility - Downtown Area (Overland Way)</v>
      </c>
      <c r="C30" s="189"/>
      <c r="D30" s="194">
        <f>'WWTF - Downtown'!F34</f>
        <v>16539300</v>
      </c>
      <c r="E30" s="195">
        <f>'WWTF - Downtown'!F63</f>
        <v>952600</v>
      </c>
      <c r="F30" s="195">
        <f>'WWTF - Downtown'!F94</f>
        <v>266500</v>
      </c>
      <c r="G30" s="195">
        <f>'WWTF - Downtown'!F123</f>
        <v>16900</v>
      </c>
      <c r="H30" s="168"/>
      <c r="I30" s="600"/>
      <c r="J30" s="600"/>
      <c r="K30" s="600"/>
      <c r="L30" s="600"/>
      <c r="M30" s="600"/>
      <c r="N30" s="600"/>
      <c r="O30" s="600"/>
      <c r="P30" s="600"/>
      <c r="Q30" s="600"/>
      <c r="R30" s="600"/>
      <c r="S30" s="600"/>
      <c r="T30" s="600"/>
      <c r="U30" s="600"/>
      <c r="V30" s="600"/>
      <c r="W30" s="600"/>
      <c r="X30" s="600"/>
      <c r="Y30" s="600"/>
      <c r="Z30" s="600"/>
      <c r="AA30" s="600"/>
      <c r="AB30" s="601"/>
      <c r="AC30" s="160"/>
      <c r="AD30" s="150"/>
      <c r="AE30" s="150"/>
      <c r="AF30" s="165"/>
      <c r="AG30" s="168"/>
      <c r="AH30" s="149"/>
      <c r="AI30" s="149"/>
      <c r="AJ30" s="171"/>
      <c r="AK30" s="160"/>
      <c r="AL30" s="150"/>
      <c r="AM30" s="150"/>
      <c r="AN30" s="165"/>
      <c r="AO30" s="168"/>
      <c r="AP30" s="149"/>
      <c r="AQ30" s="149"/>
      <c r="AR30" s="157"/>
      <c r="AS30" s="160"/>
      <c r="AT30" s="150"/>
      <c r="AU30" s="150"/>
      <c r="AV30" s="165"/>
      <c r="AW30" s="168"/>
      <c r="AX30" s="149"/>
      <c r="AY30" s="149"/>
      <c r="AZ30" s="157"/>
      <c r="BA30" s="160"/>
      <c r="BB30" s="150"/>
      <c r="BC30" s="150"/>
      <c r="BD30" s="176"/>
      <c r="BE30" s="168"/>
      <c r="BF30" s="149"/>
      <c r="BG30" s="149"/>
      <c r="BH30" s="171"/>
      <c r="BI30" s="160"/>
      <c r="BJ30" s="150"/>
      <c r="BK30" s="150"/>
      <c r="BL30" s="176"/>
      <c r="BM30" s="168"/>
      <c r="BN30" s="149"/>
      <c r="BO30" s="149"/>
      <c r="BP30" s="157"/>
      <c r="BQ30" s="160"/>
      <c r="BR30" s="150"/>
      <c r="BS30" s="150"/>
      <c r="BT30" s="176"/>
      <c r="BU30" s="168"/>
      <c r="BV30" s="149"/>
      <c r="BW30" s="149"/>
      <c r="BX30" s="157"/>
      <c r="BY30" s="160"/>
      <c r="BZ30" s="150"/>
      <c r="CA30" s="150"/>
      <c r="CB30" s="176"/>
      <c r="CC30" s="168"/>
      <c r="CD30" s="149"/>
      <c r="CE30" s="149"/>
      <c r="CF30" s="157"/>
      <c r="CG30" s="160"/>
      <c r="CH30" s="150"/>
      <c r="CI30" s="150"/>
      <c r="CJ30" s="176"/>
      <c r="CK30" s="168"/>
      <c r="CL30" s="149"/>
      <c r="CM30" s="149"/>
      <c r="CN30" s="157"/>
      <c r="CO30" s="160"/>
      <c r="CP30" s="150"/>
      <c r="CQ30" s="150"/>
      <c r="CR30" s="176"/>
      <c r="CS30" s="168"/>
      <c r="CT30" s="149"/>
      <c r="CU30" s="149"/>
      <c r="CV30" s="157"/>
      <c r="CW30" s="160"/>
      <c r="CX30" s="150"/>
      <c r="CY30" s="150"/>
      <c r="CZ30" s="176"/>
      <c r="DA30" s="168"/>
      <c r="DB30" s="149"/>
      <c r="DC30" s="149"/>
      <c r="DD30" s="157"/>
    </row>
    <row r="31" spans="2:108" ht="12.75" customHeight="1" x14ac:dyDescent="0.2">
      <c r="B31" s="182" t="s">
        <v>215</v>
      </c>
      <c r="C31" s="189"/>
      <c r="D31" s="168"/>
      <c r="E31" s="149"/>
      <c r="F31" s="149"/>
      <c r="G31" s="149"/>
      <c r="H31" s="168"/>
      <c r="I31" s="600"/>
      <c r="J31" s="600"/>
      <c r="K31" s="600"/>
      <c r="L31" s="600"/>
      <c r="M31" s="600"/>
      <c r="N31" s="600"/>
      <c r="O31" s="600"/>
      <c r="P31" s="600"/>
      <c r="Q31" s="600"/>
      <c r="R31" s="600"/>
      <c r="S31" s="600"/>
      <c r="T31" s="600"/>
      <c r="U31" s="600"/>
      <c r="V31" s="600"/>
      <c r="W31" s="600"/>
      <c r="X31" s="600"/>
      <c r="Y31" s="600"/>
      <c r="Z31" s="600"/>
      <c r="AA31" s="600"/>
      <c r="AB31" s="601"/>
      <c r="AC31" s="160"/>
      <c r="AD31" s="150"/>
      <c r="AE31" s="150"/>
      <c r="AF31" s="165"/>
      <c r="AG31" s="168"/>
      <c r="AH31" s="149"/>
      <c r="AI31" s="149"/>
      <c r="AJ31" s="171"/>
      <c r="AK31" s="160"/>
      <c r="AL31" s="150"/>
      <c r="AM31" s="150"/>
      <c r="AN31" s="165"/>
      <c r="AO31" s="168"/>
      <c r="AP31" s="149"/>
      <c r="AQ31" s="149"/>
      <c r="AR31" s="157"/>
      <c r="AS31" s="160"/>
      <c r="AT31" s="150"/>
      <c r="AU31" s="150"/>
      <c r="AV31" s="165"/>
      <c r="AW31" s="168"/>
      <c r="AX31" s="149"/>
      <c r="AY31" s="149"/>
      <c r="AZ31" s="157"/>
      <c r="BA31" s="160"/>
      <c r="BB31" s="150"/>
      <c r="BC31" s="150"/>
      <c r="BD31" s="176"/>
      <c r="BE31" s="168"/>
      <c r="BF31" s="149"/>
      <c r="BG31" s="149"/>
      <c r="BH31" s="171"/>
      <c r="BI31" s="160"/>
      <c r="BJ31" s="150"/>
      <c r="BK31" s="150"/>
      <c r="BL31" s="176"/>
      <c r="BM31" s="168"/>
      <c r="BN31" s="149"/>
      <c r="BO31" s="149"/>
      <c r="BP31" s="157"/>
      <c r="BQ31" s="160"/>
      <c r="BR31" s="150"/>
      <c r="BS31" s="150"/>
      <c r="BT31" s="176"/>
      <c r="BU31" s="168"/>
      <c r="BV31" s="149"/>
      <c r="BW31" s="149"/>
      <c r="BX31" s="157"/>
      <c r="BY31" s="160"/>
      <c r="BZ31" s="150"/>
      <c r="CA31" s="150"/>
      <c r="CB31" s="176"/>
      <c r="CC31" s="168"/>
      <c r="CD31" s="149"/>
      <c r="CE31" s="149"/>
      <c r="CF31" s="157"/>
      <c r="CG31" s="160"/>
      <c r="CH31" s="150"/>
      <c r="CI31" s="150"/>
      <c r="CJ31" s="176"/>
      <c r="CK31" s="168"/>
      <c r="CL31" s="149"/>
      <c r="CM31" s="149"/>
      <c r="CN31" s="157"/>
      <c r="CO31" s="160"/>
      <c r="CP31" s="150"/>
      <c r="CQ31" s="150"/>
      <c r="CR31" s="176"/>
      <c r="CS31" s="168"/>
      <c r="CT31" s="149"/>
      <c r="CU31" s="149"/>
      <c r="CV31" s="157"/>
      <c r="CW31" s="160"/>
      <c r="CX31" s="150"/>
      <c r="CY31" s="150"/>
      <c r="CZ31" s="176"/>
      <c r="DA31" s="168"/>
      <c r="DB31" s="149"/>
      <c r="DC31" s="149"/>
      <c r="DD31" s="157"/>
    </row>
    <row r="32" spans="2:108" ht="12.75" customHeight="1" x14ac:dyDescent="0.2">
      <c r="B32" s="183" t="s">
        <v>271</v>
      </c>
      <c r="C32" s="556">
        <v>1</v>
      </c>
      <c r="D32" s="557">
        <v>409000</v>
      </c>
      <c r="E32" s="149"/>
      <c r="F32" s="149"/>
      <c r="G32" s="149"/>
      <c r="H32" s="168">
        <f>SUM(I32:AB32)</f>
        <v>402955.66502463061</v>
      </c>
      <c r="I32" s="610">
        <f>-PV(InterestRate,I$8,,(SUM(AC32:AF32)))</f>
        <v>402955.66502463061</v>
      </c>
      <c r="J32" s="610">
        <f>-PV(InterestRate,J$8,,(SUM(AG32:AJ32)))</f>
        <v>0</v>
      </c>
      <c r="K32" s="610">
        <f>-PV(InterestRate,K$8,,(SUM(AK32:AN32)))</f>
        <v>0</v>
      </c>
      <c r="L32" s="610">
        <f>-PV(InterestRate,L$8,,(SUM(AO32:AR32)))</f>
        <v>0</v>
      </c>
      <c r="M32" s="610">
        <f>-PV(InterestRate,M$8,,(SUM(AS32:AV32)))</f>
        <v>0</v>
      </c>
      <c r="N32" s="610">
        <f>-PV(InterestRate,N$8,,(SUM(AW32:AZ32)))</f>
        <v>0</v>
      </c>
      <c r="O32" s="610">
        <f>-PV(InterestRate,O$8,,(SUM(BA32:BD32)))</f>
        <v>0</v>
      </c>
      <c r="P32" s="610">
        <f>-PV(InterestRate,P$8,,(SUM(BE32:BH32)))</f>
        <v>0</v>
      </c>
      <c r="Q32" s="610">
        <f>-PV(InterestRate,Q$8,,(SUM(BI32:BL32)))</f>
        <v>0</v>
      </c>
      <c r="R32" s="610">
        <f>-PV(InterestRate,R$8,,(SUM(BM32:BP32)))</f>
        <v>0</v>
      </c>
      <c r="S32" s="610">
        <f>-PV(InterestRate,S$8,,(SUM(BQ32:BT32)))</f>
        <v>0</v>
      </c>
      <c r="T32" s="610">
        <f>-PV(InterestRate,T$8,,(SUM(BU32:BX32)))</f>
        <v>0</v>
      </c>
      <c r="U32" s="610">
        <f>-PV(InterestRate,U$8,,(SUM(BY32:CB32)))</f>
        <v>0</v>
      </c>
      <c r="V32" s="610">
        <f>-PV(InterestRate,V$8,,(SUM(CC32:CF32)))</f>
        <v>0</v>
      </c>
      <c r="W32" s="610">
        <f>-PV(InterestRate,W$8,,(SUM(CG32:CJ32)))</f>
        <v>0</v>
      </c>
      <c r="X32" s="610">
        <f>-PV(InterestRate,X$8,,(SUM(CK32:CN32)))</f>
        <v>0</v>
      </c>
      <c r="Y32" s="610">
        <f>-PV(InterestRate,Y$8,,(SUM(CO32:CR32)))</f>
        <v>0</v>
      </c>
      <c r="Z32" s="610">
        <f>-PV(InterestRate,Z$8,,(SUM(CS32:CV32)))</f>
        <v>0</v>
      </c>
      <c r="AA32" s="610">
        <f>-PV(InterestRate,AA$8,,(SUM(CW32:CZ32)))</f>
        <v>0</v>
      </c>
      <c r="AB32" s="611">
        <f>-PV(InterestRate,AB$8,,(SUM(DA32:DD32)))</f>
        <v>0</v>
      </c>
      <c r="AC32" s="160">
        <f>IF($C32&gt;0,(IF($C32=$AC$7,$D32,0)),0)</f>
        <v>409000</v>
      </c>
      <c r="AD32" s="150">
        <f>IF($C32&gt;0,(IF($AC$7&gt;=$C32+1,$E32,0)),0)</f>
        <v>0</v>
      </c>
      <c r="AE32" s="150">
        <f>IF($C32&gt;0,(IF($C32=$AC$7,$F32,0)),0)</f>
        <v>0</v>
      </c>
      <c r="AF32" s="165">
        <f>IF($C32&gt;0,(IF($AC$7&gt;=$C32+1,$G32,0)),0)</f>
        <v>0</v>
      </c>
      <c r="AG32" s="168">
        <f>IF($C32&gt;0,(IF($C32=$AG$7,(-FV(InflationRate,$AG$7,,$D32)),0)),0)</f>
        <v>0</v>
      </c>
      <c r="AH32" s="149">
        <f>IF($C32&gt;0,(IF($AG$7&gt;=$C32+1, (-FV(InflationRate,$AG$7,,$E32)), 0)),0)</f>
        <v>0</v>
      </c>
      <c r="AI32" s="149">
        <f>IF($C32&gt;0,(IF($AG$7&gt;=$C32+1, (-FV(InflationRate,$AG$7,,$F32)), 0)),0)</f>
        <v>0</v>
      </c>
      <c r="AJ32" s="171">
        <f>IF($C32&gt;0,(IF($AG$7&gt;=$C32+1, (-FV(InflationRate,$AG$7,,$G32)), 0)),0)</f>
        <v>0</v>
      </c>
      <c r="AK32" s="160">
        <f>IF($C32&gt;0,(IF($C32=$AK$7,(-FV(InflationRate,$AK$7,,$D32)),0)),0)</f>
        <v>0</v>
      </c>
      <c r="AL32" s="150">
        <f>IF($C32&gt;0,(IF($AK$7&gt;=$C32+1, (-FV(InflationRate,$AK$7,,$E32)), 0)),0)</f>
        <v>0</v>
      </c>
      <c r="AM32" s="150">
        <f>IF($C32&gt;0,(IF($AK$7&gt;=$C32+1, (-FV(InflationRate,$AK$7,,$F32)), 0)),0)</f>
        <v>0</v>
      </c>
      <c r="AN32" s="165">
        <f>IF($C32&gt;0,(IF($AK$7&gt;=$C32+1, (-FV(InflationRate,$AK$7,,$G32)), 0)),0)</f>
        <v>0</v>
      </c>
      <c r="AO32" s="168">
        <f>IF($C32&gt;0,(IF($C32=$AO$7,(-FV(InflationRate,$AO$7,,$D32)),0)),0)</f>
        <v>0</v>
      </c>
      <c r="AP32" s="149">
        <f>IF($C32&gt;0,(IF($AO$7&gt;=$C32+1, (-FV(InflationRate,$AO$7,,$E32)), 0)),0)</f>
        <v>0</v>
      </c>
      <c r="AQ32" s="149">
        <f>IF($C32&gt;0,(IF($AO$7&gt;=$C32+1, (-FV(InflationRate,$AO$7,,$F32)), 0)),0)</f>
        <v>0</v>
      </c>
      <c r="AR32" s="157">
        <f>IF($C32&gt;0,(IF($AO$7&gt;=$C32+1, (-FV(InflationRate,$AO$7,,$G32)), 0)),0)</f>
        <v>0</v>
      </c>
      <c r="AS32" s="160">
        <f>IF($C32&gt;0,(IF($C32=$AS$7,(-FV(InflationRate,$AS$7,,$D32)),0)),0)</f>
        <v>0</v>
      </c>
      <c r="AT32" s="150">
        <f>IF($C32&gt;0,(IF($AS$7&gt;=$C32+1, (-FV(InflationRate,$AS$7,,$E32)), 0)),0)</f>
        <v>0</v>
      </c>
      <c r="AU32" s="150">
        <f>IF($C32&gt;0,(IF($AS$7&gt;=$C32+1, (-FV(InflationRate,$AS$7,,$F32)), 0)),0)</f>
        <v>0</v>
      </c>
      <c r="AV32" s="165">
        <f>IF($C32&gt;0,(IF($AS$7&gt;=$C32+1, (-FV(InflationRate,$AS$7,,$G32)), 0)),0)</f>
        <v>0</v>
      </c>
      <c r="AW32" s="168">
        <f>IF($C32&gt;0,(IF($C32=$AW$7,(-FV(InflationRate,$AW$7,,$D32)),0)),0)</f>
        <v>0</v>
      </c>
      <c r="AX32" s="149">
        <f>IF($C32&gt;0,(IF($AW$7&gt;=$C32+1, (-FV(InflationRate,$AW$7,,$E32)), 0)),0)</f>
        <v>0</v>
      </c>
      <c r="AY32" s="149">
        <f>IF($C32&gt;0,(IF($AW$7&gt;=$C32+1, (-FV(InflationRate,$AW$7,,$F32)), 0)),0)</f>
        <v>0</v>
      </c>
      <c r="AZ32" s="157">
        <f>IF($C32&gt;0,(IF($AW$7&gt;=$C32+1, (-FV(InflationRate,$AW$7,,$G32)), 0)),0)</f>
        <v>0</v>
      </c>
      <c r="BA32" s="160">
        <f>IF($C32&gt;0,(IF($C32=$BA$7,(-FV(InflationRate,$BA$7,,$D32)),0)),0)</f>
        <v>0</v>
      </c>
      <c r="BB32" s="150">
        <f>IF($C32&gt;0,(IF($BA$7&gt;=$C32+1, (-FV(InflationRate,$BA$7,,$E32)), 0)),0)</f>
        <v>0</v>
      </c>
      <c r="BC32" s="150">
        <f>IF($C32&gt;0,(IF($BA$7&gt;=$C32+1, (-FV(InflationRate,$BA$7,,$F32)), 0)),0)</f>
        <v>0</v>
      </c>
      <c r="BD32" s="176">
        <f>IF($C32&gt;0,(IF($BA$7&gt;=$C32+1, (-FV(InflationRate,$BA$7,,$G32)), 0)),0)</f>
        <v>0</v>
      </c>
      <c r="BE32" s="168">
        <f>IF($C32&gt;0,(IF($C32=$BE$7,(-FV(InflationRate,$BE$7,,$D32)),0)),0)</f>
        <v>0</v>
      </c>
      <c r="BF32" s="149">
        <f>IF($C32&gt;0,(IF($BE$7&gt;=$C32+1, (-FV(InflationRate,$BE$7,,$E32)), 0)),0)</f>
        <v>0</v>
      </c>
      <c r="BG32" s="149">
        <f>IF($C32&gt;0,(IF($BE$7&gt;=$C32+1, (-FV(InflationRate,$BE$7,,$F32)), 0)),0)</f>
        <v>0</v>
      </c>
      <c r="BH32" s="171">
        <f>IF($C32&gt;0,(IF($BE$7&gt;=$C32+1, (-FV(InflationRate,$BE$7,,$G32)), 0)),0)</f>
        <v>0</v>
      </c>
      <c r="BI32" s="160">
        <f>IF($C32&gt;0,(IF($C32=$BI$7,(-FV(InflationRate,$BI$7,,$D32)),0)),0)</f>
        <v>0</v>
      </c>
      <c r="BJ32" s="150">
        <f>IF($C32&gt;0,(IF($BI$7&gt;=$C32+1, (-FV(InflationRate,$BI$7,,$E32)), 0)),0)</f>
        <v>0</v>
      </c>
      <c r="BK32" s="150">
        <f>IF($C32&gt;0,(IF($BI$7&gt;=$C32+1, (-FV(InflationRate,$BI$7,,$F32)), 0)),0)</f>
        <v>0</v>
      </c>
      <c r="BL32" s="176">
        <f>IF($C32&gt;0,(IF($BI$7&gt;=$C32+1, (-FV(InflationRate,$BI$7,,$G32)), 0)),0)</f>
        <v>0</v>
      </c>
      <c r="BM32" s="168">
        <f>IF($C32&gt;0,(IF($C32=$BM$7,(-FV(InflationRate,$BM$7,,$D32)),0)),0)</f>
        <v>0</v>
      </c>
      <c r="BN32" s="149">
        <f>IF($C32&gt;0,(IF($BM$7&gt;=$C32+1, (-FV(InflationRate,$BM$7,,$E32)), 0)),0)</f>
        <v>0</v>
      </c>
      <c r="BO32" s="149">
        <f>IF($C32&gt;0,(IF($BM$7&gt;=$C32+1, (-FV(InflationRate,$BM$7,,$F32)), 0)),0)</f>
        <v>0</v>
      </c>
      <c r="BP32" s="157">
        <f>IF($C32&gt;0,(IF($BM$7&gt;=$C32+1, (-FV(InflationRate,$BM$7,,$G32)), 0)),0)</f>
        <v>0</v>
      </c>
      <c r="BQ32" s="160">
        <f>IF($C32&gt;0,(IF($C32=$BQ$7,(-FV(InflationRate,$BQ$7,,$D32)),0)),0)</f>
        <v>0</v>
      </c>
      <c r="BR32" s="150">
        <f>IF($C32&gt;0,(IF($BQ$7&gt;=$C32+1, (-FV(InflationRate,$BQ$7,,$E32)), 0)),0)</f>
        <v>0</v>
      </c>
      <c r="BS32" s="150">
        <f>IF($C32&gt;0,(IF($BQ$7&gt;=$C32+1, (-FV(InflationRate,$BQ$7,,$F32)), 0)),0)</f>
        <v>0</v>
      </c>
      <c r="BT32" s="176">
        <f>IF($C32&gt;0,(IF($BQ$7&gt;=$C32+1, (-FV(InflationRate,$BQ$7,,$G32)), 0)),0)</f>
        <v>0</v>
      </c>
      <c r="BU32" s="168">
        <f>IF($C32&gt;0,(IF($C32=$BU$7,(-FV(InflationRate,$BU$7,,$D32)),0)),0)</f>
        <v>0</v>
      </c>
      <c r="BV32" s="149">
        <f>IF($C32&gt;0,(IF($BU$7&gt;=$C32+1, (-FV(InflationRate,$BU$7,,$E32)), 0)),0)</f>
        <v>0</v>
      </c>
      <c r="BW32" s="149">
        <f>IF($C32&gt;0,(IF($BU$7&gt;=$C32+1, (-FV(InflationRate,$BU$7,,$F32)), 0)),0)</f>
        <v>0</v>
      </c>
      <c r="BX32" s="157">
        <f>IF($C32&gt;0,(IF($BU$7&gt;=$C32+1, (-FV(InflationRate,$BU$7,,$G32)), 0)),0)</f>
        <v>0</v>
      </c>
      <c r="BY32" s="160">
        <f>IF($C32&gt;0,(IF($C32=$BY$7,(-FV(InflationRate,$BY$7,,$D32)),0)),0)</f>
        <v>0</v>
      </c>
      <c r="BZ32" s="150">
        <f>IF($C32&gt;0,(IF($BY$7&gt;=$C32+1, (-FV(InflationRate,$BY$7,,$E32)), 0)),0)</f>
        <v>0</v>
      </c>
      <c r="CA32" s="150">
        <f>IF($C32&gt;0,(IF($BY$7&gt;=$C32+1, (-FV(InflationRate,$BY$7,,$F32)), 0)),0)</f>
        <v>0</v>
      </c>
      <c r="CB32" s="176">
        <f>IF($C32&gt;0,(IF($BY$7&gt;=$C32+1, (-FV(InflationRate,$BY$7,,$G32)), 0)),0)</f>
        <v>0</v>
      </c>
      <c r="CC32" s="168">
        <f>IF($C32&gt;0,(IF($C32=$CC$7,(-FV(InflationRate,$CC$7,,$D32)),0)),0)</f>
        <v>0</v>
      </c>
      <c r="CD32" s="149">
        <f>IF($C32&gt;0,(IF($CC$7&gt;=$C32+1, (-FV(InflationRate,$CC$7,,$E32)), 0)),0)</f>
        <v>0</v>
      </c>
      <c r="CE32" s="149">
        <f>IF($C32&gt;0,(IF($CC$7&gt;=$C32+1, (-FV(InflationRate,$CC$7,,$F32)), 0)),0)</f>
        <v>0</v>
      </c>
      <c r="CF32" s="157">
        <f>IF($C32&gt;0,(IF($CC$7&gt;=$C32+1, (-FV(InflationRate,$CC$7,,$G32)), 0)),0)</f>
        <v>0</v>
      </c>
      <c r="CG32" s="160">
        <f>IF($C32&gt;0,(IF($C32=$CG$7,(-FV(InflationRate,$CG$7,,$D32)),0)),0)</f>
        <v>0</v>
      </c>
      <c r="CH32" s="150">
        <f>IF($C32&gt;0,(IF($CG$7&gt;=$C32+1, (-FV(InflationRate,$CG$7,,$E32)), 0)),0)</f>
        <v>0</v>
      </c>
      <c r="CI32" s="150">
        <f>IF($C32&gt;0,(IF($CG$7&gt;=$C32+1, (-FV(InflationRate,$CG$7,,$F32)), 0)),0)</f>
        <v>0</v>
      </c>
      <c r="CJ32" s="176">
        <f>IF($C32&gt;0,(IF($CG$7&gt;=$C32+1, (-FV(InflationRate,$CG$7,,$G32)), 0)),0)</f>
        <v>0</v>
      </c>
      <c r="CK32" s="168">
        <f>IF($C32&gt;0,(IF($C32=$CK$7,(-FV(InflationRate,$CK$7,,$D32)),0)),0)</f>
        <v>0</v>
      </c>
      <c r="CL32" s="149">
        <f>IF($C32&gt;0,(IF($CK$7&gt;=$C32+1, (-FV(InflationRate,$CK$7,,$E32)), 0)),0)</f>
        <v>0</v>
      </c>
      <c r="CM32" s="149">
        <f>IF($C32&gt;0,(IF($CK$7&gt;=$C32+1, (-FV(InflationRate,$CK$7,,$F32)), 0)),0)</f>
        <v>0</v>
      </c>
      <c r="CN32" s="157">
        <f>IF($C32&gt;0,(IF($CK$7&gt;=$C32+1, (-FV(InflationRate,$CK$7,,$G32)), 0)),0)</f>
        <v>0</v>
      </c>
      <c r="CO32" s="160">
        <f>IF($C32&gt;0,(IF($C32=$CO$7,(-FV(InflationRate,$CO$7,,$D32)),0)),0)</f>
        <v>0</v>
      </c>
      <c r="CP32" s="150">
        <f>IF($C32&gt;0,(IF($CO$7&gt;=$C32+1, (-FV(InflationRate,$CO$7,,$E32)), 0)),0)</f>
        <v>0</v>
      </c>
      <c r="CQ32" s="150">
        <f>IF($C32&gt;0,(IF($CO$7&gt;=$C32+1, (-FV(InflationRate,$CO$7,,$F32)), 0)),0)</f>
        <v>0</v>
      </c>
      <c r="CR32" s="176">
        <f>IF($C32&gt;0,(IF($CO$7&gt;=$C32+1, (-FV(InflationRate,$CO$7,,$G32)), 0)),0)</f>
        <v>0</v>
      </c>
      <c r="CS32" s="168">
        <f>IF($C32&gt;0,(IF($C32=$CS$7,(-FV(InflationRate,$CS$7,,$D32)),0)),0)</f>
        <v>0</v>
      </c>
      <c r="CT32" s="149">
        <f>IF($C32&gt;0,(IF($CS$7&gt;=$C32+1, (-FV(InflationRate,$CS$7,,$E32)), 0)),0)</f>
        <v>0</v>
      </c>
      <c r="CU32" s="149">
        <f>IF($C32&gt;0,(IF($CS$7&gt;=$C32+1, (-FV(InflationRate,$CS$7,,$F32)), 0)),0)</f>
        <v>0</v>
      </c>
      <c r="CV32" s="157">
        <f>IF($C32&gt;0,(IF($CS$7&gt;=$C32+1, (-FV(InflationRate,$CS$7,,$G32)), 0)),0)</f>
        <v>0</v>
      </c>
      <c r="CW32" s="160">
        <f>IF($C32&gt;0,(IF($C32=$CW$7,(-FV(InflationRate,$CW$7,,$D32)),0)),0)</f>
        <v>0</v>
      </c>
      <c r="CX32" s="150">
        <f>IF($C32&gt;0,(IF($CW$7&gt;=$C32+1, (-FV(InflationRate,$CW$7,,$E32)), 0)),0)</f>
        <v>0</v>
      </c>
      <c r="CY32" s="150">
        <f>IF($C32&gt;0,(IF($CW$7&gt;=$C32+1, (-FV(InflationRate,$CW$7,,$F32)), 0)),0)</f>
        <v>0</v>
      </c>
      <c r="CZ32" s="176">
        <f>IF($C32&gt;0,(IF($CW$7&gt;=$C32+1, (-FV(InflationRate,$CW$7,,$G32)), 0)),0)</f>
        <v>0</v>
      </c>
      <c r="DA32" s="168">
        <f>IF($C32&gt;0,(IF($C32=$DA$7,(-FV(InflationRate,$DA$7,,$D32)),0)),0)</f>
        <v>0</v>
      </c>
      <c r="DB32" s="149">
        <f>IF($C32&gt;0,(IF($DA$7&gt;=$C32+1, (-FV(InflationRate,$DA$7,,$E32)), 0)),0)</f>
        <v>0</v>
      </c>
      <c r="DC32" s="149">
        <f>IF($C32&gt;0,(IF($DA$7&gt;=$C32+1, (-FV(InflationRate,$DA$7,,$F32)), 0)),0)</f>
        <v>0</v>
      </c>
      <c r="DD32" s="157">
        <f>IF($C32&gt;0,(IF($DA$7&gt;=$C32+1, (-FV(InflationRate,$DA$7,,$G32)), 0)),0)</f>
        <v>0</v>
      </c>
    </row>
    <row r="33" spans="2:108" ht="12.75" customHeight="1" x14ac:dyDescent="0.2">
      <c r="B33" s="183" t="s">
        <v>270</v>
      </c>
      <c r="C33" s="556"/>
      <c r="D33" s="557">
        <v>0</v>
      </c>
      <c r="E33" s="558">
        <v>0</v>
      </c>
      <c r="F33" s="149"/>
      <c r="G33" s="558">
        <v>0</v>
      </c>
      <c r="H33" s="168">
        <f>SUM(I33:AB33)</f>
        <v>0</v>
      </c>
      <c r="I33" s="610">
        <f>-PV(InterestRate,I$8,,(SUM(AC33:AF33)))</f>
        <v>0</v>
      </c>
      <c r="J33" s="610">
        <f>-PV(InterestRate,J$8,,(SUM(AG33:AJ33)))</f>
        <v>0</v>
      </c>
      <c r="K33" s="610">
        <f>-PV(InterestRate,K$8,,(SUM(AK33:AN33)))</f>
        <v>0</v>
      </c>
      <c r="L33" s="610">
        <f>-PV(InterestRate,L$8,,(SUM(AO33:AR33)))</f>
        <v>0</v>
      </c>
      <c r="M33" s="610">
        <f>-PV(InterestRate,M$8,,(SUM(AS33:AV33)))</f>
        <v>0</v>
      </c>
      <c r="N33" s="610">
        <f>-PV(InterestRate,N$8,,(SUM(AW33:AZ33)))</f>
        <v>0</v>
      </c>
      <c r="O33" s="610">
        <f>-PV(InterestRate,O$8,,(SUM(BA33:BD33)))</f>
        <v>0</v>
      </c>
      <c r="P33" s="610">
        <f>-PV(InterestRate,P$8,,(SUM(BE33:BH33)))</f>
        <v>0</v>
      </c>
      <c r="Q33" s="610">
        <f>-PV(InterestRate,Q$8,,(SUM(BI33:BL33)))</f>
        <v>0</v>
      </c>
      <c r="R33" s="610">
        <f>-PV(InterestRate,R$8,,(SUM(BM33:BP33)))</f>
        <v>0</v>
      </c>
      <c r="S33" s="610">
        <f>-PV(InterestRate,S$8,,(SUM(BQ33:BT33)))</f>
        <v>0</v>
      </c>
      <c r="T33" s="610">
        <f>-PV(InterestRate,T$8,,(SUM(BU33:BX33)))</f>
        <v>0</v>
      </c>
      <c r="U33" s="610">
        <f>-PV(InterestRate,U$8,,(SUM(BY33:CB33)))</f>
        <v>0</v>
      </c>
      <c r="V33" s="610">
        <f>-PV(InterestRate,V$8,,(SUM(CC33:CF33)))</f>
        <v>0</v>
      </c>
      <c r="W33" s="610">
        <f>-PV(InterestRate,W$8,,(SUM(CG33:CJ33)))</f>
        <v>0</v>
      </c>
      <c r="X33" s="610">
        <f>-PV(InterestRate,X$8,,(SUM(CK33:CN33)))</f>
        <v>0</v>
      </c>
      <c r="Y33" s="610">
        <f>-PV(InterestRate,Y$8,,(SUM(CO33:CR33)))</f>
        <v>0</v>
      </c>
      <c r="Z33" s="610">
        <f>-PV(InterestRate,Z$8,,(SUM(CS33:CV33)))</f>
        <v>0</v>
      </c>
      <c r="AA33" s="610">
        <f>-PV(InterestRate,AA$8,,(SUM(CW33:CZ33)))</f>
        <v>0</v>
      </c>
      <c r="AB33" s="611">
        <f>-PV(InterestRate,AB$8,,(SUM(DA33:DD33)))</f>
        <v>0</v>
      </c>
      <c r="AC33" s="160">
        <f>IF($C33&gt;0,(IF($C33=$AC$7,$D33,0)),0)</f>
        <v>0</v>
      </c>
      <c r="AD33" s="150">
        <f>IF($C33&gt;0,(IF($AC$7&gt;=$C33+1,$E33,0)),0)</f>
        <v>0</v>
      </c>
      <c r="AE33" s="150">
        <f>IF($C33&gt;0,(IF($C33=$AC$7,$F33,0)),0)</f>
        <v>0</v>
      </c>
      <c r="AF33" s="165">
        <f>IF($C33&gt;0,(IF($AC$7&gt;=$C33+1,$G33,0)),0)</f>
        <v>0</v>
      </c>
      <c r="AG33" s="168">
        <f>IF($C33&gt;0,(IF($C33=$AG$7,(-FV(InflationRate,$AG$7,,$D33)),0)),0)</f>
        <v>0</v>
      </c>
      <c r="AH33" s="149">
        <f>IF($C33&gt;0,(IF($AG$7&gt;=$C33+1, (-FV(InflationRate,$AG$7,,$E33)), 0)),0)</f>
        <v>0</v>
      </c>
      <c r="AI33" s="149">
        <f>IF($C33&gt;0,(IF($AG$7&gt;=$C33+1, (-FV(InflationRate,$AG$7,,$F33)), 0)),0)</f>
        <v>0</v>
      </c>
      <c r="AJ33" s="171">
        <f>IF($C33&gt;0,(IF($AG$7&gt;=$C33+1, (-FV(InflationRate,$AG$7,,$G33)), 0)),0)</f>
        <v>0</v>
      </c>
      <c r="AK33" s="160">
        <f>IF($C33&gt;0,(IF($C33=$AK$7,(-FV(InflationRate,$AK$7,,$D33)),0)),0)</f>
        <v>0</v>
      </c>
      <c r="AL33" s="150">
        <f>IF($C33&gt;0,(IF($AK$7&gt;=$C33+1, (-FV(InflationRate,$AK$7,,$E33)), 0)),0)</f>
        <v>0</v>
      </c>
      <c r="AM33" s="150">
        <f>IF($C33&gt;0,(IF($AK$7&gt;=$C33+1, (-FV(InflationRate,$AK$7,,$F33)), 0)),0)</f>
        <v>0</v>
      </c>
      <c r="AN33" s="165">
        <f>IF($C33&gt;0,(IF($AK$7&gt;=$C33+1, (-FV(InflationRate,$AK$7,,$G33)), 0)),0)</f>
        <v>0</v>
      </c>
      <c r="AO33" s="168">
        <f>IF($C33&gt;0,(IF($C33=$AO$7,(-FV(InflationRate,$AO$7,,$D33)),0)),0)</f>
        <v>0</v>
      </c>
      <c r="AP33" s="149">
        <f>IF($C33&gt;0,(IF($AO$7&gt;=$C33+1, (-FV(InflationRate,$AO$7,,$E33)), 0)),0)</f>
        <v>0</v>
      </c>
      <c r="AQ33" s="149">
        <f>IF($C33&gt;0,(IF($AO$7&gt;=$C33+1, (-FV(InflationRate,$AO$7,,$F33)), 0)),0)</f>
        <v>0</v>
      </c>
      <c r="AR33" s="157">
        <f>IF($C33&gt;0,(IF($AO$7&gt;=$C33+1, (-FV(InflationRate,$AO$7,,$G33)), 0)),0)</f>
        <v>0</v>
      </c>
      <c r="AS33" s="160">
        <f>IF($C33&gt;0,(IF($C33=$AS$7,(-FV(InflationRate,$AS$7,,$D33)),0)),0)</f>
        <v>0</v>
      </c>
      <c r="AT33" s="150">
        <f>IF($C33&gt;0,(IF($AS$7&gt;=$C33+1, (-FV(InflationRate,$AS$7,,$E33)), 0)),0)</f>
        <v>0</v>
      </c>
      <c r="AU33" s="150">
        <f>IF($C33&gt;0,(IF($AS$7&gt;=$C33+1, (-FV(InflationRate,$AS$7,,$F33)), 0)),0)</f>
        <v>0</v>
      </c>
      <c r="AV33" s="165">
        <f>IF($C33&gt;0,(IF($AS$7&gt;=$C33+1, (-FV(InflationRate,$AS$7,,$G33)), 0)),0)</f>
        <v>0</v>
      </c>
      <c r="AW33" s="168">
        <f>IF($C33&gt;0,(IF($C33=$AW$7,(-FV(InflationRate,$AW$7,,$D33)),0)),0)</f>
        <v>0</v>
      </c>
      <c r="AX33" s="149">
        <f>IF($C33&gt;0,(IF($AW$7&gt;=$C33+1, (-FV(InflationRate,$AW$7,,$E33)), 0)),0)</f>
        <v>0</v>
      </c>
      <c r="AY33" s="149">
        <f>IF($C33&gt;0,(IF($AW$7&gt;=$C33+1, (-FV(InflationRate,$AW$7,,$F33)), 0)),0)</f>
        <v>0</v>
      </c>
      <c r="AZ33" s="157">
        <f>IF($C33&gt;0,(IF($AW$7&gt;=$C33+1, (-FV(InflationRate,$AW$7,,$G33)), 0)),0)</f>
        <v>0</v>
      </c>
      <c r="BA33" s="160">
        <f>IF($C33&gt;0,(IF($C33=$BA$7,(-FV(InflationRate,$BA$7,,$D33)),0)),0)</f>
        <v>0</v>
      </c>
      <c r="BB33" s="150">
        <f>IF($C33&gt;0,(IF($BA$7&gt;=$C33+1, (-FV(InflationRate,$BA$7,,$E33)), 0)),0)</f>
        <v>0</v>
      </c>
      <c r="BC33" s="150">
        <f>IF($C33&gt;0,(IF($BA$7&gt;=$C33+1, (-FV(InflationRate,$BA$7,,$F33)), 0)),0)</f>
        <v>0</v>
      </c>
      <c r="BD33" s="176">
        <f>IF($C33&gt;0,(IF($BA$7&gt;=$C33+1, (-FV(InflationRate,$BA$7,,$G33)), 0)),0)</f>
        <v>0</v>
      </c>
      <c r="BE33" s="168">
        <f>IF($C33&gt;0,(IF($C33=$BE$7,(-FV(InflationRate,$BE$7,,$D33)),0)),0)</f>
        <v>0</v>
      </c>
      <c r="BF33" s="149">
        <f>IF($C33&gt;0,(IF($BE$7&gt;=$C33+1, (-FV(InflationRate,$BE$7,,$E33)), 0)),0)</f>
        <v>0</v>
      </c>
      <c r="BG33" s="149">
        <f>IF($C33&gt;0,(IF($BE$7&gt;=$C33+1, (-FV(InflationRate,$BE$7,,$F33)), 0)),0)</f>
        <v>0</v>
      </c>
      <c r="BH33" s="171">
        <f>IF($C33&gt;0,(IF($BE$7&gt;=$C33+1, (-FV(InflationRate,$BE$7,,$G33)), 0)),0)</f>
        <v>0</v>
      </c>
      <c r="BI33" s="160">
        <f>IF($C33&gt;0,(IF($C33=$BI$7,(-FV(InflationRate,$BI$7,,$D33)),0)),0)</f>
        <v>0</v>
      </c>
      <c r="BJ33" s="150">
        <f>IF($C33&gt;0,(IF($BI$7&gt;=$C33+1, (-FV(InflationRate,$BI$7,,$E33)), 0)),0)</f>
        <v>0</v>
      </c>
      <c r="BK33" s="150">
        <f>IF($C33&gt;0,(IF($BI$7&gt;=$C33+1, (-FV(InflationRate,$BI$7,,$F33)), 0)),0)</f>
        <v>0</v>
      </c>
      <c r="BL33" s="176">
        <f>IF($C33&gt;0,(IF($BI$7&gt;=$C33+1, (-FV(InflationRate,$BI$7,,$G33)), 0)),0)</f>
        <v>0</v>
      </c>
      <c r="BM33" s="168">
        <f>IF($C33&gt;0,(IF($C33=$BM$7,(-FV(InflationRate,$BM$7,,$D33)),0)),0)</f>
        <v>0</v>
      </c>
      <c r="BN33" s="149">
        <f>IF($C33&gt;0,(IF($BM$7&gt;=$C33+1, (-FV(InflationRate,$BM$7,,$E33)), 0)),0)</f>
        <v>0</v>
      </c>
      <c r="BO33" s="149">
        <f>IF($C33&gt;0,(IF($BM$7&gt;=$C33+1, (-FV(InflationRate,$BM$7,,$F33)), 0)),0)</f>
        <v>0</v>
      </c>
      <c r="BP33" s="157">
        <f>IF($C33&gt;0,(IF($BM$7&gt;=$C33+1, (-FV(InflationRate,$BM$7,,$G33)), 0)),0)</f>
        <v>0</v>
      </c>
      <c r="BQ33" s="160">
        <f>IF($C33&gt;0,(IF($C33=$BQ$7,(-FV(InflationRate,$BQ$7,,$D33)),0)),0)</f>
        <v>0</v>
      </c>
      <c r="BR33" s="150">
        <f>IF($C33&gt;0,(IF($BQ$7&gt;=$C33+1, (-FV(InflationRate,$BQ$7,,$E33)), 0)),0)</f>
        <v>0</v>
      </c>
      <c r="BS33" s="150">
        <f>IF($C33&gt;0,(IF($BQ$7&gt;=$C33+1, (-FV(InflationRate,$BQ$7,,$F33)), 0)),0)</f>
        <v>0</v>
      </c>
      <c r="BT33" s="176">
        <f>IF($C33&gt;0,(IF($BQ$7&gt;=$C33+1, (-FV(InflationRate,$BQ$7,,$G33)), 0)),0)</f>
        <v>0</v>
      </c>
      <c r="BU33" s="168">
        <f>IF($C33&gt;0,(IF($C33=$BU$7,(-FV(InflationRate,$BU$7,,$D33)),0)),0)</f>
        <v>0</v>
      </c>
      <c r="BV33" s="149">
        <f>IF($C33&gt;0,(IF($BU$7&gt;=$C33+1, (-FV(InflationRate,$BU$7,,$E33)), 0)),0)</f>
        <v>0</v>
      </c>
      <c r="BW33" s="149">
        <f>IF($C33&gt;0,(IF($BU$7&gt;=$C33+1, (-FV(InflationRate,$BU$7,,$F33)), 0)),0)</f>
        <v>0</v>
      </c>
      <c r="BX33" s="157">
        <f>IF($C33&gt;0,(IF($BU$7&gt;=$C33+1, (-FV(InflationRate,$BU$7,,$G33)), 0)),0)</f>
        <v>0</v>
      </c>
      <c r="BY33" s="160">
        <f>IF($C33&gt;0,(IF($C33=$BY$7,(-FV(InflationRate,$BY$7,,$D33)),0)),0)</f>
        <v>0</v>
      </c>
      <c r="BZ33" s="150">
        <f>IF($C33&gt;0,(IF($BY$7&gt;=$C33+1, (-FV(InflationRate,$BY$7,,$E33)), 0)),0)</f>
        <v>0</v>
      </c>
      <c r="CA33" s="150">
        <f>IF($C33&gt;0,(IF($BY$7&gt;=$C33+1, (-FV(InflationRate,$BY$7,,$F33)), 0)),0)</f>
        <v>0</v>
      </c>
      <c r="CB33" s="176">
        <f>IF($C33&gt;0,(IF($BY$7&gt;=$C33+1, (-FV(InflationRate,$BY$7,,$G33)), 0)),0)</f>
        <v>0</v>
      </c>
      <c r="CC33" s="168">
        <f>IF($C33&gt;0,(IF($C33=$CC$7,(-FV(InflationRate,$CC$7,,$D33)),0)),0)</f>
        <v>0</v>
      </c>
      <c r="CD33" s="149">
        <f>IF($C33&gt;0,(IF($CC$7&gt;=$C33+1, (-FV(InflationRate,$CC$7,,$E33)), 0)),0)</f>
        <v>0</v>
      </c>
      <c r="CE33" s="149">
        <f>IF($C33&gt;0,(IF($CC$7&gt;=$C33+1, (-FV(InflationRate,$CC$7,,$F33)), 0)),0)</f>
        <v>0</v>
      </c>
      <c r="CF33" s="157">
        <f>IF($C33&gt;0,(IF($CC$7&gt;=$C33+1, (-FV(InflationRate,$CC$7,,$G33)), 0)),0)</f>
        <v>0</v>
      </c>
      <c r="CG33" s="160">
        <f>IF($C33&gt;0,(IF($C33=$CG$7,(-FV(InflationRate,$CG$7,,$D33)),0)),0)</f>
        <v>0</v>
      </c>
      <c r="CH33" s="150">
        <f>IF($C33&gt;0,(IF($CG$7&gt;=$C33+1, (-FV(InflationRate,$CG$7,,$E33)), 0)),0)</f>
        <v>0</v>
      </c>
      <c r="CI33" s="150">
        <f>IF($C33&gt;0,(IF($CG$7&gt;=$C33+1, (-FV(InflationRate,$CG$7,,$F33)), 0)),0)</f>
        <v>0</v>
      </c>
      <c r="CJ33" s="176">
        <f>IF($C33&gt;0,(IF($CG$7&gt;=$C33+1, (-FV(InflationRate,$CG$7,,$G33)), 0)),0)</f>
        <v>0</v>
      </c>
      <c r="CK33" s="168">
        <f>IF($C33&gt;0,(IF($C33=$CK$7,(-FV(InflationRate,$CK$7,,$D33)),0)),0)</f>
        <v>0</v>
      </c>
      <c r="CL33" s="149">
        <f>IF($C33&gt;0,(IF($CK$7&gt;=$C33+1, (-FV(InflationRate,$CK$7,,$E33)), 0)),0)</f>
        <v>0</v>
      </c>
      <c r="CM33" s="149">
        <f>IF($C33&gt;0,(IF($CK$7&gt;=$C33+1, (-FV(InflationRate,$CK$7,,$F33)), 0)),0)</f>
        <v>0</v>
      </c>
      <c r="CN33" s="157">
        <f>IF($C33&gt;0,(IF($CK$7&gt;=$C33+1, (-FV(InflationRate,$CK$7,,$G33)), 0)),0)</f>
        <v>0</v>
      </c>
      <c r="CO33" s="160">
        <f>IF($C33&gt;0,(IF($C33=$CO$7,(-FV(InflationRate,$CO$7,,$D33)),0)),0)</f>
        <v>0</v>
      </c>
      <c r="CP33" s="150">
        <f>IF($C33&gt;0,(IF($CO$7&gt;=$C33+1, (-FV(InflationRate,$CO$7,,$E33)), 0)),0)</f>
        <v>0</v>
      </c>
      <c r="CQ33" s="150">
        <f>IF($C33&gt;0,(IF($CO$7&gt;=$C33+1, (-FV(InflationRate,$CO$7,,$F33)), 0)),0)</f>
        <v>0</v>
      </c>
      <c r="CR33" s="176">
        <f>IF($C33&gt;0,(IF($CO$7&gt;=$C33+1, (-FV(InflationRate,$CO$7,,$G33)), 0)),0)</f>
        <v>0</v>
      </c>
      <c r="CS33" s="168">
        <f>IF($C33&gt;0,(IF($C33=$CS$7,(-FV(InflationRate,$CS$7,,$D33)),0)),0)</f>
        <v>0</v>
      </c>
      <c r="CT33" s="149">
        <f>IF($C33&gt;0,(IF($CS$7&gt;=$C33+1, (-FV(InflationRate,$CS$7,,$E33)), 0)),0)</f>
        <v>0</v>
      </c>
      <c r="CU33" s="149">
        <f>IF($C33&gt;0,(IF($CS$7&gt;=$C33+1, (-FV(InflationRate,$CS$7,,$F33)), 0)),0)</f>
        <v>0</v>
      </c>
      <c r="CV33" s="157">
        <f>IF($C33&gt;0,(IF($CS$7&gt;=$C33+1, (-FV(InflationRate,$CS$7,,$G33)), 0)),0)</f>
        <v>0</v>
      </c>
      <c r="CW33" s="160">
        <f>IF($C33&gt;0,(IF($C33=$CW$7,(-FV(InflationRate,$CW$7,,$D33)),0)),0)</f>
        <v>0</v>
      </c>
      <c r="CX33" s="150">
        <f>IF($C33&gt;0,(IF($CW$7&gt;=$C33+1, (-FV(InflationRate,$CW$7,,$E33)), 0)),0)</f>
        <v>0</v>
      </c>
      <c r="CY33" s="150">
        <f>IF($C33&gt;0,(IF($CW$7&gt;=$C33+1, (-FV(InflationRate,$CW$7,,$F33)), 0)),0)</f>
        <v>0</v>
      </c>
      <c r="CZ33" s="176">
        <f>IF($C33&gt;0,(IF($CW$7&gt;=$C33+1, (-FV(InflationRate,$CW$7,,$G33)), 0)),0)</f>
        <v>0</v>
      </c>
      <c r="DA33" s="168">
        <f>IF($C33&gt;0,(IF($C33=$DA$7,(-FV(InflationRate,$DA$7,,$D33)),0)),0)</f>
        <v>0</v>
      </c>
      <c r="DB33" s="149">
        <f>IF($C33&gt;0,(IF($DA$7&gt;=$C33+1, (-FV(InflationRate,$DA$7,,$E33)), 0)),0)</f>
        <v>0</v>
      </c>
      <c r="DC33" s="149">
        <f>IF($C33&gt;0,(IF($DA$7&gt;=$C33+1, (-FV(InflationRate,$DA$7,,$F33)), 0)),0)</f>
        <v>0</v>
      </c>
      <c r="DD33" s="157">
        <f>IF($C33&gt;0,(IF($DA$7&gt;=$C33+1, (-FV(InflationRate,$DA$7,,$G33)), 0)),0)</f>
        <v>0</v>
      </c>
    </row>
    <row r="34" spans="2:108" ht="12.75" customHeight="1" x14ac:dyDescent="0.2">
      <c r="B34" s="183" t="s">
        <v>203</v>
      </c>
      <c r="C34" s="556"/>
      <c r="D34" s="168"/>
      <c r="E34" s="149"/>
      <c r="F34" s="558">
        <v>0</v>
      </c>
      <c r="G34" s="149"/>
      <c r="H34" s="168">
        <f>SUM(I34:AB34)</f>
        <v>0</v>
      </c>
      <c r="I34" s="610">
        <f>-PV(InterestRate,I$8,,(SUM(AC34:AF34)))</f>
        <v>0</v>
      </c>
      <c r="J34" s="610">
        <f>-PV(InterestRate,J$8,,(SUM(AG34:AJ34)))</f>
        <v>0</v>
      </c>
      <c r="K34" s="610">
        <f>-PV(InterestRate,K$8,,(SUM(AK34:AN34)))</f>
        <v>0</v>
      </c>
      <c r="L34" s="610">
        <f>-PV(InterestRate,L$8,,(SUM(AO34:AR34)))</f>
        <v>0</v>
      </c>
      <c r="M34" s="610">
        <f>-PV(InterestRate,M$8,,(SUM(AS34:AV34)))</f>
        <v>0</v>
      </c>
      <c r="N34" s="610">
        <f>-PV(InterestRate,N$8,,(SUM(AW34:AZ34)))</f>
        <v>0</v>
      </c>
      <c r="O34" s="610">
        <f>-PV(InterestRate,O$8,,(SUM(BA34:BD34)))</f>
        <v>0</v>
      </c>
      <c r="P34" s="610">
        <f>-PV(InterestRate,P$8,,(SUM(BE34:BH34)))</f>
        <v>0</v>
      </c>
      <c r="Q34" s="610">
        <f>-PV(InterestRate,Q$8,,(SUM(BI34:BL34)))</f>
        <v>0</v>
      </c>
      <c r="R34" s="610">
        <f>-PV(InterestRate,R$8,,(SUM(BM34:BP34)))</f>
        <v>0</v>
      </c>
      <c r="S34" s="610">
        <f>-PV(InterestRate,S$8,,(SUM(BQ34:BT34)))</f>
        <v>0</v>
      </c>
      <c r="T34" s="610">
        <f>-PV(InterestRate,T$8,,(SUM(BU34:BX34)))</f>
        <v>0</v>
      </c>
      <c r="U34" s="610">
        <f>-PV(InterestRate,U$8,,(SUM(BY34:CB34)))</f>
        <v>0</v>
      </c>
      <c r="V34" s="610">
        <f>-PV(InterestRate,V$8,,(SUM(CC34:CF34)))</f>
        <v>0</v>
      </c>
      <c r="W34" s="610">
        <f>-PV(InterestRate,W$8,,(SUM(CG34:CJ34)))</f>
        <v>0</v>
      </c>
      <c r="X34" s="610">
        <f>-PV(InterestRate,X$8,,(SUM(CK34:CN34)))</f>
        <v>0</v>
      </c>
      <c r="Y34" s="610">
        <f>-PV(InterestRate,Y$8,,(SUM(CO34:CR34)))</f>
        <v>0</v>
      </c>
      <c r="Z34" s="610">
        <f>-PV(InterestRate,Z$8,,(SUM(CS34:CV34)))</f>
        <v>0</v>
      </c>
      <c r="AA34" s="610">
        <f>-PV(InterestRate,AA$8,,(SUM(CW34:CZ34)))</f>
        <v>0</v>
      </c>
      <c r="AB34" s="611">
        <f>-PV(InterestRate,AB$8,,(SUM(DA34:DD34)))</f>
        <v>0</v>
      </c>
      <c r="AC34" s="160">
        <f>IF($C34&gt;0,(IF($C34=$AC$7,$D34,0)),0)</f>
        <v>0</v>
      </c>
      <c r="AD34" s="150">
        <f>IF($C34&gt;0,(IF($AC$7&gt;=$C34+1,$E34,0)),0)</f>
        <v>0</v>
      </c>
      <c r="AE34" s="150">
        <f>IF($C34&gt;0,(IF($C34=$AC$7,$F34,0)),0)</f>
        <v>0</v>
      </c>
      <c r="AF34" s="165">
        <f>IF($C34&gt;0,(IF($AC$7&gt;=$C34+1,$G34,0)),0)</f>
        <v>0</v>
      </c>
      <c r="AG34" s="168">
        <f>IF($C34&gt;0,(IF($C34=$AG$7,(-FV(InflationRate,$AG$7,,$D34)),0)),0)</f>
        <v>0</v>
      </c>
      <c r="AH34" s="149">
        <f>IF($C34&gt;0,(IF($AG$7&gt;=$C34+1, (-FV(InflationRate,$AG$7,,$E34)), 0)),0)</f>
        <v>0</v>
      </c>
      <c r="AI34" s="149">
        <f>IF($C34&gt;0,(IF($AG$7&gt;=$C34+1, (-FV(InflationRate,$AG$7,,$F34)), 0)),0)</f>
        <v>0</v>
      </c>
      <c r="AJ34" s="171">
        <f>IF($C34&gt;0,(IF($AG$7&gt;=$C34+1, (-FV(InflationRate,$AG$7,,$G34)), 0)),0)</f>
        <v>0</v>
      </c>
      <c r="AK34" s="160">
        <f>IF($C34&gt;0,(IF($C34=$AK$7,(-FV(InflationRate,$AK$7,,$D34)),0)),0)</f>
        <v>0</v>
      </c>
      <c r="AL34" s="150">
        <f>IF($C34&gt;0,(IF($AK$7&gt;=$C34+1, (-FV(InflationRate,$AK$7,,$E34)), 0)),0)</f>
        <v>0</v>
      </c>
      <c r="AM34" s="150">
        <f>IF($C34&gt;0,(IF($AK$7&gt;=$C34+1, (-FV(InflationRate,$AK$7,,$F34)), 0)),0)</f>
        <v>0</v>
      </c>
      <c r="AN34" s="165">
        <f>IF($C34&gt;0,(IF($AK$7&gt;=$C34+1, (-FV(InflationRate,$AK$7,,$G34)), 0)),0)</f>
        <v>0</v>
      </c>
      <c r="AO34" s="168">
        <f>IF($C34&gt;0,(IF($C34=$AO$7,(-FV(InflationRate,$AO$7,,$D34)),0)),0)</f>
        <v>0</v>
      </c>
      <c r="AP34" s="149">
        <f>IF($C34&gt;0,(IF($AO$7&gt;=$C34+1, (-FV(InflationRate,$AO$7,,$E34)), 0)),0)</f>
        <v>0</v>
      </c>
      <c r="AQ34" s="149">
        <f>IF($C34&gt;0,(IF($AO$7&gt;=$C34+1, (-FV(InflationRate,$AO$7,,$F34)), 0)),0)</f>
        <v>0</v>
      </c>
      <c r="AR34" s="157">
        <f>IF($C34&gt;0,(IF($AO$7&gt;=$C34+1, (-FV(InflationRate,$AO$7,,$G34)), 0)),0)</f>
        <v>0</v>
      </c>
      <c r="AS34" s="160">
        <f>IF($C34&gt;0,(IF($C34=$AS$7,(-FV(InflationRate,$AS$7,,$D34)),0)),0)</f>
        <v>0</v>
      </c>
      <c r="AT34" s="150">
        <f>IF($C34&gt;0,(IF($AS$7&gt;=$C34+1, (-FV(InflationRate,$AS$7,,$E34)), 0)),0)</f>
        <v>0</v>
      </c>
      <c r="AU34" s="150">
        <f>IF($C34&gt;0,(IF($AS$7&gt;=$C34+1, (-FV(InflationRate,$AS$7,,$F34)), 0)),0)</f>
        <v>0</v>
      </c>
      <c r="AV34" s="165">
        <f>IF($C34&gt;0,(IF($AS$7&gt;=$C34+1, (-FV(InflationRate,$AS$7,,$G34)), 0)),0)</f>
        <v>0</v>
      </c>
      <c r="AW34" s="168">
        <f>IF($C34&gt;0,(IF($C34=$AW$7,(-FV(InflationRate,$AW$7,,$D34)),0)),0)</f>
        <v>0</v>
      </c>
      <c r="AX34" s="149">
        <f>IF($C34&gt;0,(IF($AW$7&gt;=$C34+1, (-FV(InflationRate,$AW$7,,$E34)), 0)),0)</f>
        <v>0</v>
      </c>
      <c r="AY34" s="149">
        <f>IF($C34&gt;0,(IF($AW$7&gt;=$C34+1, (-FV(InflationRate,$AW$7,,$F34)), 0)),0)</f>
        <v>0</v>
      </c>
      <c r="AZ34" s="157">
        <f>IF($C34&gt;0,(IF($AW$7&gt;=$C34+1, (-FV(InflationRate,$AW$7,,$G34)), 0)),0)</f>
        <v>0</v>
      </c>
      <c r="BA34" s="160">
        <f>IF($C34&gt;0,(IF($C34=$BA$7,(-FV(InflationRate,$BA$7,,$D34)),0)),0)</f>
        <v>0</v>
      </c>
      <c r="BB34" s="150">
        <f>IF($C34&gt;0,(IF($BA$7&gt;=$C34+1, (-FV(InflationRate,$BA$7,,$E34)), 0)),0)</f>
        <v>0</v>
      </c>
      <c r="BC34" s="150">
        <f>IF($C34&gt;0,(IF($BA$7&gt;=$C34+1, (-FV(InflationRate,$BA$7,,$F34)), 0)),0)</f>
        <v>0</v>
      </c>
      <c r="BD34" s="176">
        <f>IF($C34&gt;0,(IF($BA$7&gt;=$C34+1, (-FV(InflationRate,$BA$7,,$G34)), 0)),0)</f>
        <v>0</v>
      </c>
      <c r="BE34" s="168">
        <f>IF($C34&gt;0,(IF($C34=$BE$7,(-FV(InflationRate,$BE$7,,$D34)),0)),0)</f>
        <v>0</v>
      </c>
      <c r="BF34" s="149">
        <f>IF($C34&gt;0,(IF($BE$7&gt;=$C34+1, (-FV(InflationRate,$BE$7,,$E34)), 0)),0)</f>
        <v>0</v>
      </c>
      <c r="BG34" s="149">
        <f>IF($C34&gt;0,(IF($BE$7&gt;=$C34+1, (-FV(InflationRate,$BE$7,,$F34)), 0)),0)</f>
        <v>0</v>
      </c>
      <c r="BH34" s="171">
        <f>IF($C34&gt;0,(IF($BE$7&gt;=$C34+1, (-FV(InflationRate,$BE$7,,$G34)), 0)),0)</f>
        <v>0</v>
      </c>
      <c r="BI34" s="160">
        <f>IF($C34&gt;0,(IF($C34=$BI$7,(-FV(InflationRate,$BI$7,,$D34)),0)),0)</f>
        <v>0</v>
      </c>
      <c r="BJ34" s="150">
        <f>IF($C34&gt;0,(IF($BI$7&gt;=$C34+1, (-FV(InflationRate,$BI$7,,$E34)), 0)),0)</f>
        <v>0</v>
      </c>
      <c r="BK34" s="150">
        <f>IF($C34&gt;0,(IF($BI$7&gt;=$C34+1, (-FV(InflationRate,$BI$7,,$F34)), 0)),0)</f>
        <v>0</v>
      </c>
      <c r="BL34" s="176">
        <f>IF($C34&gt;0,(IF($BI$7&gt;=$C34+1, (-FV(InflationRate,$BI$7,,$G34)), 0)),0)</f>
        <v>0</v>
      </c>
      <c r="BM34" s="168">
        <f>IF($C34&gt;0,(IF($C34=$BM$7,(-FV(InflationRate,$BM$7,,$D34)),0)),0)</f>
        <v>0</v>
      </c>
      <c r="BN34" s="149">
        <f>IF($C34&gt;0,(IF($BM$7&gt;=$C34+1, (-FV(InflationRate,$BM$7,,$E34)), 0)),0)</f>
        <v>0</v>
      </c>
      <c r="BO34" s="149">
        <f>IF($C34&gt;0,(IF($BM$7&gt;=$C34+1, (-FV(InflationRate,$BM$7,,$F34)), 0)),0)</f>
        <v>0</v>
      </c>
      <c r="BP34" s="157">
        <f>IF($C34&gt;0,(IF($BM$7&gt;=$C34+1, (-FV(InflationRate,$BM$7,,$G34)), 0)),0)</f>
        <v>0</v>
      </c>
      <c r="BQ34" s="160">
        <f>IF($C34&gt;0,(IF($C34=$BQ$7,(-FV(InflationRate,$BQ$7,,$D34)),0)),0)</f>
        <v>0</v>
      </c>
      <c r="BR34" s="150">
        <f>IF($C34&gt;0,(IF($BQ$7&gt;=$C34+1, (-FV(InflationRate,$BQ$7,,$E34)), 0)),0)</f>
        <v>0</v>
      </c>
      <c r="BS34" s="150">
        <f>IF($C34&gt;0,(IF($BQ$7&gt;=$C34+1, (-FV(InflationRate,$BQ$7,,$F34)), 0)),0)</f>
        <v>0</v>
      </c>
      <c r="BT34" s="176">
        <f>IF($C34&gt;0,(IF($BQ$7&gt;=$C34+1, (-FV(InflationRate,$BQ$7,,$G34)), 0)),0)</f>
        <v>0</v>
      </c>
      <c r="BU34" s="168">
        <f>IF($C34&gt;0,(IF($C34=$BU$7,(-FV(InflationRate,$BU$7,,$D34)),0)),0)</f>
        <v>0</v>
      </c>
      <c r="BV34" s="149">
        <f>IF($C34&gt;0,(IF($BU$7&gt;=$C34+1, (-FV(InflationRate,$BU$7,,$E34)), 0)),0)</f>
        <v>0</v>
      </c>
      <c r="BW34" s="149">
        <f>IF($C34&gt;0,(IF($BU$7&gt;=$C34+1, (-FV(InflationRate,$BU$7,,$F34)), 0)),0)</f>
        <v>0</v>
      </c>
      <c r="BX34" s="157">
        <f>IF($C34&gt;0,(IF($BU$7&gt;=$C34+1, (-FV(InflationRate,$BU$7,,$G34)), 0)),0)</f>
        <v>0</v>
      </c>
      <c r="BY34" s="160">
        <f>IF($C34&gt;0,(IF($C34=$BY$7,(-FV(InflationRate,$BY$7,,$D34)),0)),0)</f>
        <v>0</v>
      </c>
      <c r="BZ34" s="150">
        <f>IF($C34&gt;0,(IF($BY$7&gt;=$C34+1, (-FV(InflationRate,$BY$7,,$E34)), 0)),0)</f>
        <v>0</v>
      </c>
      <c r="CA34" s="150">
        <f>IF($C34&gt;0,(IF($BY$7&gt;=$C34+1, (-FV(InflationRate,$BY$7,,$F34)), 0)),0)</f>
        <v>0</v>
      </c>
      <c r="CB34" s="176">
        <f>IF($C34&gt;0,(IF($BY$7&gt;=$C34+1, (-FV(InflationRate,$BY$7,,$G34)), 0)),0)</f>
        <v>0</v>
      </c>
      <c r="CC34" s="168">
        <f>IF($C34&gt;0,(IF($C34=$CC$7,(-FV(InflationRate,$CC$7,,$D34)),0)),0)</f>
        <v>0</v>
      </c>
      <c r="CD34" s="149">
        <f>IF($C34&gt;0,(IF($CC$7&gt;=$C34+1, (-FV(InflationRate,$CC$7,,$E34)), 0)),0)</f>
        <v>0</v>
      </c>
      <c r="CE34" s="149">
        <f>IF($C34&gt;0,(IF($CC$7&gt;=$C34+1, (-FV(InflationRate,$CC$7,,$F34)), 0)),0)</f>
        <v>0</v>
      </c>
      <c r="CF34" s="157">
        <f>IF($C34&gt;0,(IF($CC$7&gt;=$C34+1, (-FV(InflationRate,$CC$7,,$G34)), 0)),0)</f>
        <v>0</v>
      </c>
      <c r="CG34" s="160">
        <f>IF($C34&gt;0,(IF($C34=$CG$7,(-FV(InflationRate,$CG$7,,$D34)),0)),0)</f>
        <v>0</v>
      </c>
      <c r="CH34" s="150">
        <f>IF($C34&gt;0,(IF($CG$7&gt;=$C34+1, (-FV(InflationRate,$CG$7,,$E34)), 0)),0)</f>
        <v>0</v>
      </c>
      <c r="CI34" s="150">
        <f>IF($C34&gt;0,(IF($CG$7&gt;=$C34+1, (-FV(InflationRate,$CG$7,,$F34)), 0)),0)</f>
        <v>0</v>
      </c>
      <c r="CJ34" s="176">
        <f>IF($C34&gt;0,(IF($CG$7&gt;=$C34+1, (-FV(InflationRate,$CG$7,,$G34)), 0)),0)</f>
        <v>0</v>
      </c>
      <c r="CK34" s="168">
        <f>IF($C34&gt;0,(IF($C34=$CK$7,(-FV(InflationRate,$CK$7,,$D34)),0)),0)</f>
        <v>0</v>
      </c>
      <c r="CL34" s="149">
        <f>IF($C34&gt;0,(IF($CK$7&gt;=$C34+1, (-FV(InflationRate,$CK$7,,$E34)), 0)),0)</f>
        <v>0</v>
      </c>
      <c r="CM34" s="149">
        <f>IF($C34&gt;0,(IF($CK$7&gt;=$C34+1, (-FV(InflationRate,$CK$7,,$F34)), 0)),0)</f>
        <v>0</v>
      </c>
      <c r="CN34" s="157">
        <f>IF($C34&gt;0,(IF($CK$7&gt;=$C34+1, (-FV(InflationRate,$CK$7,,$G34)), 0)),0)</f>
        <v>0</v>
      </c>
      <c r="CO34" s="160">
        <f>IF($C34&gt;0,(IF($C34=$CO$7,(-FV(InflationRate,$CO$7,,$D34)),0)),0)</f>
        <v>0</v>
      </c>
      <c r="CP34" s="150">
        <f>IF($C34&gt;0,(IF($CO$7&gt;=$C34+1, (-FV(InflationRate,$CO$7,,$E34)), 0)),0)</f>
        <v>0</v>
      </c>
      <c r="CQ34" s="150">
        <f>IF($C34&gt;0,(IF($CO$7&gt;=$C34+1, (-FV(InflationRate,$CO$7,,$F34)), 0)),0)</f>
        <v>0</v>
      </c>
      <c r="CR34" s="176">
        <f>IF($C34&gt;0,(IF($CO$7&gt;=$C34+1, (-FV(InflationRate,$CO$7,,$G34)), 0)),0)</f>
        <v>0</v>
      </c>
      <c r="CS34" s="168">
        <f>IF($C34&gt;0,(IF($C34=$CS$7,(-FV(InflationRate,$CS$7,,$D34)),0)),0)</f>
        <v>0</v>
      </c>
      <c r="CT34" s="149">
        <f>IF($C34&gt;0,(IF($CS$7&gt;=$C34+1, (-FV(InflationRate,$CS$7,,$E34)), 0)),0)</f>
        <v>0</v>
      </c>
      <c r="CU34" s="149">
        <f>IF($C34&gt;0,(IF($CS$7&gt;=$C34+1, (-FV(InflationRate,$CS$7,,$F34)), 0)),0)</f>
        <v>0</v>
      </c>
      <c r="CV34" s="157">
        <f>IF($C34&gt;0,(IF($CS$7&gt;=$C34+1, (-FV(InflationRate,$CS$7,,$G34)), 0)),0)</f>
        <v>0</v>
      </c>
      <c r="CW34" s="160">
        <f>IF($C34&gt;0,(IF($C34=$CW$7,(-FV(InflationRate,$CW$7,,$D34)),0)),0)</f>
        <v>0</v>
      </c>
      <c r="CX34" s="150">
        <f>IF($C34&gt;0,(IF($CW$7&gt;=$C34+1, (-FV(InflationRate,$CW$7,,$E34)), 0)),0)</f>
        <v>0</v>
      </c>
      <c r="CY34" s="150">
        <f>IF($C34&gt;0,(IF($CW$7&gt;=$C34+1, (-FV(InflationRate,$CW$7,,$F34)), 0)),0)</f>
        <v>0</v>
      </c>
      <c r="CZ34" s="176">
        <f>IF($C34&gt;0,(IF($CW$7&gt;=$C34+1, (-FV(InflationRate,$CW$7,,$G34)), 0)),0)</f>
        <v>0</v>
      </c>
      <c r="DA34" s="168">
        <f>IF($C34&gt;0,(IF($C34=$DA$7,(-FV(InflationRate,$DA$7,,$D34)),0)),0)</f>
        <v>0</v>
      </c>
      <c r="DB34" s="149">
        <f>IF($C34&gt;0,(IF($DA$7&gt;=$C34+1, (-FV(InflationRate,$DA$7,,$E34)), 0)),0)</f>
        <v>0</v>
      </c>
      <c r="DC34" s="149">
        <f>IF($C34&gt;0,(IF($DA$7&gt;=$C34+1, (-FV(InflationRate,$DA$7,,$F34)), 0)),0)</f>
        <v>0</v>
      </c>
      <c r="DD34" s="157">
        <f>IF($C34&gt;0,(IF($DA$7&gt;=$C34+1, (-FV(InflationRate,$DA$7,,$G34)), 0)),0)</f>
        <v>0</v>
      </c>
    </row>
    <row r="35" spans="2:108" ht="12.75" customHeight="1" x14ac:dyDescent="0.2">
      <c r="B35" s="182" t="s">
        <v>216</v>
      </c>
      <c r="C35" s="189"/>
      <c r="D35" s="168"/>
      <c r="E35" s="149"/>
      <c r="F35" s="149"/>
      <c r="G35" s="149"/>
      <c r="H35" s="168"/>
      <c r="I35" s="600"/>
      <c r="J35" s="600"/>
      <c r="K35" s="600"/>
      <c r="L35" s="600"/>
      <c r="M35" s="600"/>
      <c r="N35" s="600"/>
      <c r="O35" s="600"/>
      <c r="P35" s="600"/>
      <c r="Q35" s="600"/>
      <c r="R35" s="600"/>
      <c r="S35" s="600"/>
      <c r="T35" s="600"/>
      <c r="U35" s="600"/>
      <c r="V35" s="600"/>
      <c r="W35" s="600"/>
      <c r="X35" s="600"/>
      <c r="Y35" s="600"/>
      <c r="Z35" s="600"/>
      <c r="AA35" s="600"/>
      <c r="AB35" s="601"/>
      <c r="AC35" s="160"/>
      <c r="AD35" s="150"/>
      <c r="AE35" s="150"/>
      <c r="AF35" s="165"/>
      <c r="AG35" s="168"/>
      <c r="AH35" s="149"/>
      <c r="AI35" s="149"/>
      <c r="AJ35" s="171"/>
      <c r="AK35" s="160"/>
      <c r="AL35" s="150"/>
      <c r="AM35" s="150"/>
      <c r="AN35" s="165"/>
      <c r="AO35" s="168"/>
      <c r="AP35" s="149"/>
      <c r="AQ35" s="149"/>
      <c r="AR35" s="157"/>
      <c r="AS35" s="160"/>
      <c r="AT35" s="150"/>
      <c r="AU35" s="150"/>
      <c r="AV35" s="165"/>
      <c r="AW35" s="168"/>
      <c r="AX35" s="149"/>
      <c r="AY35" s="149"/>
      <c r="AZ35" s="157"/>
      <c r="BA35" s="160"/>
      <c r="BB35" s="150"/>
      <c r="BC35" s="150"/>
      <c r="BD35" s="176"/>
      <c r="BE35" s="168"/>
      <c r="BF35" s="149"/>
      <c r="BG35" s="149"/>
      <c r="BH35" s="171"/>
      <c r="BI35" s="160"/>
      <c r="BJ35" s="150"/>
      <c r="BK35" s="150"/>
      <c r="BL35" s="176"/>
      <c r="BM35" s="168"/>
      <c r="BN35" s="149"/>
      <c r="BO35" s="149"/>
      <c r="BP35" s="157"/>
      <c r="BQ35" s="160"/>
      <c r="BR35" s="150"/>
      <c r="BS35" s="150"/>
      <c r="BT35" s="176"/>
      <c r="BU35" s="168"/>
      <c r="BV35" s="149"/>
      <c r="BW35" s="149"/>
      <c r="BX35" s="157"/>
      <c r="BY35" s="160"/>
      <c r="BZ35" s="150"/>
      <c r="CA35" s="150"/>
      <c r="CB35" s="176"/>
      <c r="CC35" s="168"/>
      <c r="CD35" s="149"/>
      <c r="CE35" s="149"/>
      <c r="CF35" s="157"/>
      <c r="CG35" s="160"/>
      <c r="CH35" s="150"/>
      <c r="CI35" s="150"/>
      <c r="CJ35" s="176"/>
      <c r="CK35" s="168"/>
      <c r="CL35" s="149"/>
      <c r="CM35" s="149"/>
      <c r="CN35" s="157"/>
      <c r="CO35" s="160"/>
      <c r="CP35" s="150"/>
      <c r="CQ35" s="150"/>
      <c r="CR35" s="176"/>
      <c r="CS35" s="168"/>
      <c r="CT35" s="149"/>
      <c r="CU35" s="149"/>
      <c r="CV35" s="157"/>
      <c r="CW35" s="160"/>
      <c r="CX35" s="150"/>
      <c r="CY35" s="150"/>
      <c r="CZ35" s="176"/>
      <c r="DA35" s="168"/>
      <c r="DB35" s="149"/>
      <c r="DC35" s="149"/>
      <c r="DD35" s="157"/>
    </row>
    <row r="36" spans="2:108" ht="12.75" customHeight="1" x14ac:dyDescent="0.2">
      <c r="B36" s="183" t="s">
        <v>220</v>
      </c>
      <c r="C36" s="556">
        <v>2</v>
      </c>
      <c r="D36" s="557">
        <f>1378275+35425+15000</f>
        <v>1428700</v>
      </c>
      <c r="E36" s="149"/>
      <c r="F36" s="149"/>
      <c r="G36" s="149"/>
      <c r="H36" s="168">
        <f>SUM(I36:AB36)</f>
        <v>1471239.6127059625</v>
      </c>
      <c r="I36" s="610">
        <f>-PV(InterestRate,I$8,,(SUM(AC36:AF36)))</f>
        <v>0</v>
      </c>
      <c r="J36" s="610">
        <f>-PV(InterestRate,J$8,,(SUM(AG36:AJ36)))</f>
        <v>1471239.6127059625</v>
      </c>
      <c r="K36" s="610">
        <f>-PV(InterestRate,K$8,,(SUM(AK36:AN36)))</f>
        <v>0</v>
      </c>
      <c r="L36" s="610">
        <f>-PV(InterestRate,L$8,,(SUM(AO36:AR36)))</f>
        <v>0</v>
      </c>
      <c r="M36" s="610">
        <f>-PV(InterestRate,M$8,,(SUM(AS36:AV36)))</f>
        <v>0</v>
      </c>
      <c r="N36" s="610">
        <f>-PV(InterestRate,N$8,,(SUM(AW36:AZ36)))</f>
        <v>0</v>
      </c>
      <c r="O36" s="610">
        <f>-PV(InterestRate,O$8,,(SUM(BA36:BD36)))</f>
        <v>0</v>
      </c>
      <c r="P36" s="610">
        <f>-PV(InterestRate,P$8,,(SUM(BE36:BH36)))</f>
        <v>0</v>
      </c>
      <c r="Q36" s="610">
        <f>-PV(InterestRate,Q$8,,(SUM(BI36:BL36)))</f>
        <v>0</v>
      </c>
      <c r="R36" s="610">
        <f>-PV(InterestRate,R$8,,(SUM(BM36:BP36)))</f>
        <v>0</v>
      </c>
      <c r="S36" s="610">
        <f>-PV(InterestRate,S$8,,(SUM(BQ36:BT36)))</f>
        <v>0</v>
      </c>
      <c r="T36" s="610">
        <f>-PV(InterestRate,T$8,,(SUM(BU36:BX36)))</f>
        <v>0</v>
      </c>
      <c r="U36" s="610">
        <f>-PV(InterestRate,U$8,,(SUM(BY36:CB36)))</f>
        <v>0</v>
      </c>
      <c r="V36" s="610">
        <f>-PV(InterestRate,V$8,,(SUM(CC36:CF36)))</f>
        <v>0</v>
      </c>
      <c r="W36" s="610">
        <f>-PV(InterestRate,W$8,,(SUM(CG36:CJ36)))</f>
        <v>0</v>
      </c>
      <c r="X36" s="610">
        <f>-PV(InterestRate,X$8,,(SUM(CK36:CN36)))</f>
        <v>0</v>
      </c>
      <c r="Y36" s="610">
        <f>-PV(InterestRate,Y$8,,(SUM(CO36:CR36)))</f>
        <v>0</v>
      </c>
      <c r="Z36" s="610">
        <f>-PV(InterestRate,Z$8,,(SUM(CS36:CV36)))</f>
        <v>0</v>
      </c>
      <c r="AA36" s="610">
        <f>-PV(InterestRate,AA$8,,(SUM(CW36:CZ36)))</f>
        <v>0</v>
      </c>
      <c r="AB36" s="611">
        <f>-PV(InterestRate,AB$8,,(SUM(DA36:DD36)))</f>
        <v>0</v>
      </c>
      <c r="AC36" s="160">
        <f>IF($C36&gt;0,(IF($C36=$AC$7,$D36,0)),0)</f>
        <v>0</v>
      </c>
      <c r="AD36" s="150">
        <f>IF($C36&gt;0,(IF($AC$7&gt;=$C36+1,$E36,0)),0)</f>
        <v>0</v>
      </c>
      <c r="AE36" s="150">
        <f>IF($C36&gt;0,(IF($C36=$AC$7,$F36,0)),0)</f>
        <v>0</v>
      </c>
      <c r="AF36" s="165">
        <f>IF($C36&gt;0,(IF($AC$7&gt;=$C36+1,$G36,0)),0)</f>
        <v>0</v>
      </c>
      <c r="AG36" s="168">
        <f>IF($C36&gt;0,(IF($C36=$AG$7,(-FV(InflationRate,$AG$7,,$D36)),0)),0)</f>
        <v>1515707.8299999998</v>
      </c>
      <c r="AH36" s="149">
        <f>IF($C36&gt;0,(IF($AG$7&gt;=$C36+1, (-FV(InflationRate,$AG$7,,$E36)), 0)),0)</f>
        <v>0</v>
      </c>
      <c r="AI36" s="149">
        <f>IF($C36&gt;0,(IF($AG$7&gt;=$C36+1, (-FV(InflationRate,$AG$7,,$F36)), 0)),0)</f>
        <v>0</v>
      </c>
      <c r="AJ36" s="171">
        <f>IF($C36&gt;0,(IF($AG$7&gt;=$C36+1, (-FV(InflationRate,$AG$7,,$G36)), 0)),0)</f>
        <v>0</v>
      </c>
      <c r="AK36" s="160">
        <f>IF($C36&gt;0,(IF($C36=$AK$7,(-FV(InflationRate,$AK$7,,$D36)),0)),0)</f>
        <v>0</v>
      </c>
      <c r="AL36" s="150">
        <f>IF($C36&gt;0,(IF($AK$7&gt;=$C36+1, (-FV(InflationRate,$AK$7,,$E36)), 0)),0)</f>
        <v>0</v>
      </c>
      <c r="AM36" s="150">
        <f>IF($C36&gt;0,(IF($AK$7&gt;=$C36+1, (-FV(InflationRate,$AK$7,,$F36)), 0)),0)</f>
        <v>0</v>
      </c>
      <c r="AN36" s="165">
        <f>IF($C36&gt;0,(IF($AK$7&gt;=$C36+1, (-FV(InflationRate,$AK$7,,$G36)), 0)),0)</f>
        <v>0</v>
      </c>
      <c r="AO36" s="168">
        <f>IF($C36&gt;0,(IF($C36=$AO$7,(-FV(InflationRate,$AO$7,,$D36)),0)),0)</f>
        <v>0</v>
      </c>
      <c r="AP36" s="149">
        <f>IF($C36&gt;0,(IF($AO$7&gt;=$C36+1, (-FV(InflationRate,$AO$7,,$E36)), 0)),0)</f>
        <v>0</v>
      </c>
      <c r="AQ36" s="149">
        <f>IF($C36&gt;0,(IF($AO$7&gt;=$C36+1, (-FV(InflationRate,$AO$7,,$F36)), 0)),0)</f>
        <v>0</v>
      </c>
      <c r="AR36" s="157">
        <f>IF($C36&gt;0,(IF($AO$7&gt;=$C36+1, (-FV(InflationRate,$AO$7,,$G36)), 0)),0)</f>
        <v>0</v>
      </c>
      <c r="AS36" s="160">
        <f>IF($C36&gt;0,(IF($C36=$AS$7,(-FV(InflationRate,$AS$7,,$D36)),0)),0)</f>
        <v>0</v>
      </c>
      <c r="AT36" s="150">
        <f>IF($C36&gt;0,(IF($AS$7&gt;=$C36+1, (-FV(InflationRate,$AS$7,,$E36)), 0)),0)</f>
        <v>0</v>
      </c>
      <c r="AU36" s="150">
        <f>IF($C36&gt;0,(IF($AS$7&gt;=$C36+1, (-FV(InflationRate,$AS$7,,$F36)), 0)),0)</f>
        <v>0</v>
      </c>
      <c r="AV36" s="165">
        <f>IF($C36&gt;0,(IF($AS$7&gt;=$C36+1, (-FV(InflationRate,$AS$7,,$G36)), 0)),0)</f>
        <v>0</v>
      </c>
      <c r="AW36" s="168">
        <f>IF($C36&gt;0,(IF($C36=$AW$7,(-FV(InflationRate,$AW$7,,$D36)),0)),0)</f>
        <v>0</v>
      </c>
      <c r="AX36" s="149">
        <f>IF($C36&gt;0,(IF($AW$7&gt;=$C36+1, (-FV(InflationRate,$AW$7,,$E36)), 0)),0)</f>
        <v>0</v>
      </c>
      <c r="AY36" s="149">
        <f>IF($C36&gt;0,(IF($AW$7&gt;=$C36+1, (-FV(InflationRate,$AW$7,,$F36)), 0)),0)</f>
        <v>0</v>
      </c>
      <c r="AZ36" s="157">
        <f>IF($C36&gt;0,(IF($AW$7&gt;=$C36+1, (-FV(InflationRate,$AW$7,,$G36)), 0)),0)</f>
        <v>0</v>
      </c>
      <c r="BA36" s="160">
        <f>IF($C36&gt;0,(IF($C36=$BA$7,(-FV(InflationRate,$BA$7,,$D36)),0)),0)</f>
        <v>0</v>
      </c>
      <c r="BB36" s="150">
        <f>IF($C36&gt;0,(IF($BA$7&gt;=$C36+1, (-FV(InflationRate,$BA$7,,$E36)), 0)),0)</f>
        <v>0</v>
      </c>
      <c r="BC36" s="150">
        <f>IF($C36&gt;0,(IF($BA$7&gt;=$C36+1, (-FV(InflationRate,$BA$7,,$F36)), 0)),0)</f>
        <v>0</v>
      </c>
      <c r="BD36" s="176">
        <f>IF($C36&gt;0,(IF($BA$7&gt;=$C36+1, (-FV(InflationRate,$BA$7,,$G36)), 0)),0)</f>
        <v>0</v>
      </c>
      <c r="BE36" s="168">
        <f>IF($C36&gt;0,(IF($C36=$BE$7,(-FV(InflationRate,$BE$7,,$D36)),0)),0)</f>
        <v>0</v>
      </c>
      <c r="BF36" s="149">
        <f>IF($C36&gt;0,(IF($BE$7&gt;=$C36+1, (-FV(InflationRate,$BE$7,,$E36)), 0)),0)</f>
        <v>0</v>
      </c>
      <c r="BG36" s="149">
        <f>IF($C36&gt;0,(IF($BE$7&gt;=$C36+1, (-FV(InflationRate,$BE$7,,$F36)), 0)),0)</f>
        <v>0</v>
      </c>
      <c r="BH36" s="171">
        <f>IF($C36&gt;0,(IF($BE$7&gt;=$C36+1, (-FV(InflationRate,$BE$7,,$G36)), 0)),0)</f>
        <v>0</v>
      </c>
      <c r="BI36" s="160">
        <f>IF($C36&gt;0,(IF($C36=$BI$7,(-FV(InflationRate,$BI$7,,$D36)),0)),0)</f>
        <v>0</v>
      </c>
      <c r="BJ36" s="150">
        <f>IF($C36&gt;0,(IF($BI$7&gt;=$C36+1, (-FV(InflationRate,$BI$7,,$E36)), 0)),0)</f>
        <v>0</v>
      </c>
      <c r="BK36" s="150">
        <f>IF($C36&gt;0,(IF($BI$7&gt;=$C36+1, (-FV(InflationRate,$BI$7,,$F36)), 0)),0)</f>
        <v>0</v>
      </c>
      <c r="BL36" s="176">
        <f>IF($C36&gt;0,(IF($BI$7&gt;=$C36+1, (-FV(InflationRate,$BI$7,,$G36)), 0)),0)</f>
        <v>0</v>
      </c>
      <c r="BM36" s="168">
        <f>IF($C36&gt;0,(IF($C36=$BM$7,(-FV(InflationRate,$BM$7,,$D36)),0)),0)</f>
        <v>0</v>
      </c>
      <c r="BN36" s="149">
        <f>IF($C36&gt;0,(IF($BM$7&gt;=$C36+1, (-FV(InflationRate,$BM$7,,$E36)), 0)),0)</f>
        <v>0</v>
      </c>
      <c r="BO36" s="149">
        <f>IF($C36&gt;0,(IF($BM$7&gt;=$C36+1, (-FV(InflationRate,$BM$7,,$F36)), 0)),0)</f>
        <v>0</v>
      </c>
      <c r="BP36" s="157">
        <f>IF($C36&gt;0,(IF($BM$7&gt;=$C36+1, (-FV(InflationRate,$BM$7,,$G36)), 0)),0)</f>
        <v>0</v>
      </c>
      <c r="BQ36" s="160">
        <f>IF($C36&gt;0,(IF($C36=$BQ$7,(-FV(InflationRate,$BQ$7,,$D36)),0)),0)</f>
        <v>0</v>
      </c>
      <c r="BR36" s="150">
        <f>IF($C36&gt;0,(IF($BQ$7&gt;=$C36+1, (-FV(InflationRate,$BQ$7,,$E36)), 0)),0)</f>
        <v>0</v>
      </c>
      <c r="BS36" s="150">
        <f>IF($C36&gt;0,(IF($BQ$7&gt;=$C36+1, (-FV(InflationRate,$BQ$7,,$F36)), 0)),0)</f>
        <v>0</v>
      </c>
      <c r="BT36" s="176">
        <f>IF($C36&gt;0,(IF($BQ$7&gt;=$C36+1, (-FV(InflationRate,$BQ$7,,$G36)), 0)),0)</f>
        <v>0</v>
      </c>
      <c r="BU36" s="168">
        <f>IF($C36&gt;0,(IF($C36=$BU$7,(-FV(InflationRate,$BU$7,,$D36)),0)),0)</f>
        <v>0</v>
      </c>
      <c r="BV36" s="149">
        <f>IF($C36&gt;0,(IF($BU$7&gt;=$C36+1, (-FV(InflationRate,$BU$7,,$E36)), 0)),0)</f>
        <v>0</v>
      </c>
      <c r="BW36" s="149">
        <f>IF($C36&gt;0,(IF($BU$7&gt;=$C36+1, (-FV(InflationRate,$BU$7,,$F36)), 0)),0)</f>
        <v>0</v>
      </c>
      <c r="BX36" s="157">
        <f>IF($C36&gt;0,(IF($BU$7&gt;=$C36+1, (-FV(InflationRate,$BU$7,,$G36)), 0)),0)</f>
        <v>0</v>
      </c>
      <c r="BY36" s="160">
        <f>IF($C36&gt;0,(IF($C36=$BY$7,(-FV(InflationRate,$BY$7,,$D36)),0)),0)</f>
        <v>0</v>
      </c>
      <c r="BZ36" s="150">
        <f>IF($C36&gt;0,(IF($BY$7&gt;=$C36+1, (-FV(InflationRate,$BY$7,,$E36)), 0)),0)</f>
        <v>0</v>
      </c>
      <c r="CA36" s="150">
        <f>IF($C36&gt;0,(IF($BY$7&gt;=$C36+1, (-FV(InflationRate,$BY$7,,$F36)), 0)),0)</f>
        <v>0</v>
      </c>
      <c r="CB36" s="176">
        <f>IF($C36&gt;0,(IF($BY$7&gt;=$C36+1, (-FV(InflationRate,$BY$7,,$G36)), 0)),0)</f>
        <v>0</v>
      </c>
      <c r="CC36" s="168">
        <f>IF($C36&gt;0,(IF($C36=$CC$7,(-FV(InflationRate,$CC$7,,$D36)),0)),0)</f>
        <v>0</v>
      </c>
      <c r="CD36" s="149">
        <f>IF($C36&gt;0,(IF($CC$7&gt;=$C36+1, (-FV(InflationRate,$CC$7,,$E36)), 0)),0)</f>
        <v>0</v>
      </c>
      <c r="CE36" s="149">
        <f>IF($C36&gt;0,(IF($CC$7&gt;=$C36+1, (-FV(InflationRate,$CC$7,,$F36)), 0)),0)</f>
        <v>0</v>
      </c>
      <c r="CF36" s="157">
        <f>IF($C36&gt;0,(IF($CC$7&gt;=$C36+1, (-FV(InflationRate,$CC$7,,$G36)), 0)),0)</f>
        <v>0</v>
      </c>
      <c r="CG36" s="160">
        <f>IF($C36&gt;0,(IF($C36=$CG$7,(-FV(InflationRate,$CG$7,,$D36)),0)),0)</f>
        <v>0</v>
      </c>
      <c r="CH36" s="150">
        <f>IF($C36&gt;0,(IF($CG$7&gt;=$C36+1, (-FV(InflationRate,$CG$7,,$E36)), 0)),0)</f>
        <v>0</v>
      </c>
      <c r="CI36" s="150">
        <f>IF($C36&gt;0,(IF($CG$7&gt;=$C36+1, (-FV(InflationRate,$CG$7,,$F36)), 0)),0)</f>
        <v>0</v>
      </c>
      <c r="CJ36" s="176">
        <f>IF($C36&gt;0,(IF($CG$7&gt;=$C36+1, (-FV(InflationRate,$CG$7,,$G36)), 0)),0)</f>
        <v>0</v>
      </c>
      <c r="CK36" s="168">
        <f>IF($C36&gt;0,(IF($C36=$CK$7,(-FV(InflationRate,$CK$7,,$D36)),0)),0)</f>
        <v>0</v>
      </c>
      <c r="CL36" s="149">
        <f>IF($C36&gt;0,(IF($CK$7&gt;=$C36+1, (-FV(InflationRate,$CK$7,,$E36)), 0)),0)</f>
        <v>0</v>
      </c>
      <c r="CM36" s="149">
        <f>IF($C36&gt;0,(IF($CK$7&gt;=$C36+1, (-FV(InflationRate,$CK$7,,$F36)), 0)),0)</f>
        <v>0</v>
      </c>
      <c r="CN36" s="157">
        <f>IF($C36&gt;0,(IF($CK$7&gt;=$C36+1, (-FV(InflationRate,$CK$7,,$G36)), 0)),0)</f>
        <v>0</v>
      </c>
      <c r="CO36" s="160">
        <f>IF($C36&gt;0,(IF($C36=$CO$7,(-FV(InflationRate,$CO$7,,$D36)),0)),0)</f>
        <v>0</v>
      </c>
      <c r="CP36" s="150">
        <f>IF($C36&gt;0,(IF($CO$7&gt;=$C36+1, (-FV(InflationRate,$CO$7,,$E36)), 0)),0)</f>
        <v>0</v>
      </c>
      <c r="CQ36" s="150">
        <f>IF($C36&gt;0,(IF($CO$7&gt;=$C36+1, (-FV(InflationRate,$CO$7,,$F36)), 0)),0)</f>
        <v>0</v>
      </c>
      <c r="CR36" s="176">
        <f>IF($C36&gt;0,(IF($CO$7&gt;=$C36+1, (-FV(InflationRate,$CO$7,,$G36)), 0)),0)</f>
        <v>0</v>
      </c>
      <c r="CS36" s="168">
        <f>IF($C36&gt;0,(IF($C36=$CS$7,(-FV(InflationRate,$CS$7,,$D36)),0)),0)</f>
        <v>0</v>
      </c>
      <c r="CT36" s="149">
        <f>IF($C36&gt;0,(IF($CS$7&gt;=$C36+1, (-FV(InflationRate,$CS$7,,$E36)), 0)),0)</f>
        <v>0</v>
      </c>
      <c r="CU36" s="149">
        <f>IF($C36&gt;0,(IF($CS$7&gt;=$C36+1, (-FV(InflationRate,$CS$7,,$F36)), 0)),0)</f>
        <v>0</v>
      </c>
      <c r="CV36" s="157">
        <f>IF($C36&gt;0,(IF($CS$7&gt;=$C36+1, (-FV(InflationRate,$CS$7,,$G36)), 0)),0)</f>
        <v>0</v>
      </c>
      <c r="CW36" s="160">
        <f>IF($C36&gt;0,(IF($C36=$CW$7,(-FV(InflationRate,$CW$7,,$D36)),0)),0)</f>
        <v>0</v>
      </c>
      <c r="CX36" s="150">
        <f>IF($C36&gt;0,(IF($CW$7&gt;=$C36+1, (-FV(InflationRate,$CW$7,,$E36)), 0)),0)</f>
        <v>0</v>
      </c>
      <c r="CY36" s="150">
        <f>IF($C36&gt;0,(IF($CW$7&gt;=$C36+1, (-FV(InflationRate,$CW$7,,$F36)), 0)),0)</f>
        <v>0</v>
      </c>
      <c r="CZ36" s="176">
        <f>IF($C36&gt;0,(IF($CW$7&gt;=$C36+1, (-FV(InflationRate,$CW$7,,$G36)), 0)),0)</f>
        <v>0</v>
      </c>
      <c r="DA36" s="168">
        <f>IF($C36&gt;0,(IF($C36=$DA$7,(-FV(InflationRate,$DA$7,,$D36)),0)),0)</f>
        <v>0</v>
      </c>
      <c r="DB36" s="149">
        <f>IF($C36&gt;0,(IF($DA$7&gt;=$C36+1, (-FV(InflationRate,$DA$7,,$E36)), 0)),0)</f>
        <v>0</v>
      </c>
      <c r="DC36" s="149">
        <f>IF($C36&gt;0,(IF($DA$7&gt;=$C36+1, (-FV(InflationRate,$DA$7,,$F36)), 0)),0)</f>
        <v>0</v>
      </c>
      <c r="DD36" s="157">
        <f>IF($C36&gt;0,(IF($DA$7&gt;=$C36+1, (-FV(InflationRate,$DA$7,,$G36)), 0)),0)</f>
        <v>0</v>
      </c>
    </row>
    <row r="37" spans="2:108" ht="12.75" customHeight="1" x14ac:dyDescent="0.2">
      <c r="B37" s="183" t="s">
        <v>270</v>
      </c>
      <c r="C37" s="556">
        <v>3</v>
      </c>
      <c r="D37" s="557">
        <v>10000000</v>
      </c>
      <c r="E37" s="558">
        <v>652600</v>
      </c>
      <c r="F37" s="149"/>
      <c r="G37" s="558">
        <v>16900</v>
      </c>
      <c r="H37" s="168">
        <f>SUM(I37:AB37)</f>
        <v>24057320.069012631</v>
      </c>
      <c r="I37" s="610">
        <f>-PV(InterestRate,I$8,,(SUM(AC37:AF37)))</f>
        <v>0</v>
      </c>
      <c r="J37" s="610">
        <f>-PV(InterestRate,J$8,,(SUM(AG37:AJ37)))</f>
        <v>0</v>
      </c>
      <c r="K37" s="610">
        <f>-PV(InterestRate,K$8,,(SUM(AK37:AN37)))</f>
        <v>10449933.996196492</v>
      </c>
      <c r="L37" s="610">
        <f>-PV(InterestRate,L$8,,(SUM(AO37:AR37)))</f>
        <v>709962.33840070525</v>
      </c>
      <c r="M37" s="610">
        <f>-PV(InterestRate,M$8,,(SUM(AS37:AV37)))</f>
        <v>720454.39266278467</v>
      </c>
      <c r="N37" s="610">
        <f>-PV(InterestRate,N$8,,(SUM(AW37:AZ37)))</f>
        <v>731101.50191395904</v>
      </c>
      <c r="O37" s="610">
        <f>-PV(InterestRate,O$8,,(SUM(BA37:BD37)))</f>
        <v>741905.95760726894</v>
      </c>
      <c r="P37" s="610">
        <f>-PV(InterestRate,P$8,,(SUM(BE37:BH37)))</f>
        <v>752870.08505959308</v>
      </c>
      <c r="Q37" s="610">
        <f>-PV(InterestRate,Q$8,,(SUM(BI37:BL37)))</f>
        <v>763996.24395209958</v>
      </c>
      <c r="R37" s="610">
        <f>-PV(InterestRate,R$8,,(SUM(BM37:BP37)))</f>
        <v>775286.82883809134</v>
      </c>
      <c r="S37" s="610">
        <f>-PV(InterestRate,S$8,,(SUM(BQ37:BT37)))</f>
        <v>786744.26965835865</v>
      </c>
      <c r="T37" s="610">
        <f>-PV(InterestRate,T$8,,(SUM(BU37:BX37)))</f>
        <v>798371.0322641473</v>
      </c>
      <c r="U37" s="610">
        <f>-PV(InterestRate,U$8,,(SUM(BY37:CB37)))</f>
        <v>810169.61894785392</v>
      </c>
      <c r="V37" s="610">
        <f>-PV(InterestRate,V$8,,(SUM(CC37:CF37)))</f>
        <v>822142.56898156647</v>
      </c>
      <c r="W37" s="610">
        <f>-PV(InterestRate,W$8,,(SUM(CG37:CJ37)))</f>
        <v>834292.45916356018</v>
      </c>
      <c r="X37" s="610">
        <f>-PV(InterestRate,X$8,,(SUM(CK37:CN37)))</f>
        <v>846621.90437287372</v>
      </c>
      <c r="Y37" s="610">
        <f>-PV(InterestRate,Y$8,,(SUM(CO37:CR37)))</f>
        <v>859133.55813207908</v>
      </c>
      <c r="Z37" s="610">
        <f>-PV(InterestRate,Z$8,,(SUM(CS37:CV37)))</f>
        <v>871830.11317836586</v>
      </c>
      <c r="AA37" s="610">
        <f>-PV(InterestRate,AA$8,,(SUM(CW37:CZ37)))</f>
        <v>884714.3020430709</v>
      </c>
      <c r="AB37" s="611">
        <f>-PV(InterestRate,AB$8,,(SUM(DA37:DD37)))</f>
        <v>897788.8976397668</v>
      </c>
      <c r="AC37" s="160">
        <f>IF($C37&gt;0,(IF($C37=$AC$7,$D37,0)),0)</f>
        <v>0</v>
      </c>
      <c r="AD37" s="150">
        <f>IF($C37&gt;0,(IF($AC$7&gt;=$C37+1,$E37,0)),0)</f>
        <v>0</v>
      </c>
      <c r="AE37" s="150">
        <f>IF($C37&gt;0,(IF($C37=$AC$7,$F37,0)),0)</f>
        <v>0</v>
      </c>
      <c r="AF37" s="165">
        <f>IF($C37&gt;0,(IF($AC$7&gt;=$C37+1,$G37,0)),0)</f>
        <v>0</v>
      </c>
      <c r="AG37" s="168">
        <f>IF($C37&gt;0,(IF($C37=$AG$7,(-FV(InflationRate,$AG$7,,$D37)),0)),0)</f>
        <v>0</v>
      </c>
      <c r="AH37" s="149">
        <f>IF($C37&gt;0,(IF($AG$7&gt;=$C37+1, (-FV(InflationRate,$AG$7,,$E37)), 0)),0)</f>
        <v>0</v>
      </c>
      <c r="AI37" s="149">
        <f>IF($C37&gt;0,(IF($AG$7&gt;=$C37+1, (-FV(InflationRate,$AG$7,,$F37)), 0)),0)</f>
        <v>0</v>
      </c>
      <c r="AJ37" s="171">
        <f>IF($C37&gt;0,(IF($AG$7&gt;=$C37+1, (-FV(InflationRate,$AG$7,,$G37)), 0)),0)</f>
        <v>0</v>
      </c>
      <c r="AK37" s="160">
        <f>IF($C37&gt;0,(IF($C37=$AK$7,(-FV(InflationRate,$AK$7,,$D37)),0)),0)</f>
        <v>10927270</v>
      </c>
      <c r="AL37" s="150">
        <f>IF($C37&gt;0,(IF($AK$7&gt;=$C37+1, (-FV(InflationRate,$AK$7,,$E37)), 0)),0)</f>
        <v>0</v>
      </c>
      <c r="AM37" s="150">
        <f>IF($C37&gt;0,(IF($AK$7&gt;=$C37+1, (-FV(InflationRate,$AK$7,,$F37)), 0)),0)</f>
        <v>0</v>
      </c>
      <c r="AN37" s="165">
        <f>IF($C37&gt;0,(IF($AK$7&gt;=$C37+1, (-FV(InflationRate,$AK$7,,$G37)), 0)),0)</f>
        <v>0</v>
      </c>
      <c r="AO37" s="168">
        <f>IF($C37&gt;0,(IF($C37=$AO$7,(-FV(InflationRate,$AO$7,,$D37)),0)),0)</f>
        <v>0</v>
      </c>
      <c r="AP37" s="149">
        <f>IF($C37&gt;0,(IF($AO$7&gt;=$C37+1, (-FV(InflationRate,$AO$7,,$E37)), 0)),0)</f>
        <v>734507.04940599995</v>
      </c>
      <c r="AQ37" s="149">
        <f>IF($C37&gt;0,(IF($AO$7&gt;=$C37+1, (-FV(InflationRate,$AO$7,,$F37)), 0)),0)</f>
        <v>0</v>
      </c>
      <c r="AR37" s="157">
        <f>IF($C37&gt;0,(IF($AO$7&gt;=$C37+1, (-FV(InflationRate,$AO$7,,$G37)), 0)),0)</f>
        <v>19021.098888999997</v>
      </c>
      <c r="AS37" s="160">
        <f>IF($C37&gt;0,(IF($C37=$AS$7,(-FV(InflationRate,$AS$7,,$D37)),0)),0)</f>
        <v>0</v>
      </c>
      <c r="AT37" s="150">
        <f>IF($C37&gt;0,(IF($AS$7&gt;=$C37+1, (-FV(InflationRate,$AS$7,,$E37)), 0)),0)</f>
        <v>756542.26088817988</v>
      </c>
      <c r="AU37" s="150">
        <f>IF($C37&gt;0,(IF($AS$7&gt;=$C37+1, (-FV(InflationRate,$AS$7,,$F37)), 0)),0)</f>
        <v>0</v>
      </c>
      <c r="AV37" s="165">
        <f>IF($C37&gt;0,(IF($AS$7&gt;=$C37+1, (-FV(InflationRate,$AS$7,,$G37)), 0)),0)</f>
        <v>19591.731855669997</v>
      </c>
      <c r="AW37" s="168">
        <f>IF($C37&gt;0,(IF($C37=$AW$7,(-FV(InflationRate,$AW$7,,$D37)),0)),0)</f>
        <v>0</v>
      </c>
      <c r="AX37" s="149">
        <f>IF($C37&gt;0,(IF($AW$7&gt;=$C37+1, (-FV(InflationRate,$AW$7,,$E37)), 0)),0)</f>
        <v>779238.5287148254</v>
      </c>
      <c r="AY37" s="149">
        <f>IF($C37&gt;0,(IF($AW$7&gt;=$C37+1, (-FV(InflationRate,$AW$7,,$F37)), 0)),0)</f>
        <v>0</v>
      </c>
      <c r="AZ37" s="157">
        <f>IF($C37&gt;0,(IF($AW$7&gt;=$C37+1, (-FV(InflationRate,$AW$7,,$G37)), 0)),0)</f>
        <v>20179.483811340098</v>
      </c>
      <c r="BA37" s="160">
        <f>IF($C37&gt;0,(IF($C37=$BA$7,(-FV(InflationRate,$BA$7,,$D37)),0)),0)</f>
        <v>0</v>
      </c>
      <c r="BB37" s="150">
        <f>IF($C37&gt;0,(IF($BA$7&gt;=$C37+1, (-FV(InflationRate,$BA$7,,$E37)), 0)),0)</f>
        <v>802615.68457627017</v>
      </c>
      <c r="BC37" s="150">
        <f>IF($C37&gt;0,(IF($BA$7&gt;=$C37+1, (-FV(InflationRate,$BA$7,,$F37)), 0)),0)</f>
        <v>0</v>
      </c>
      <c r="BD37" s="176">
        <f>IF($C37&gt;0,(IF($BA$7&gt;=$C37+1, (-FV(InflationRate,$BA$7,,$G37)), 0)),0)</f>
        <v>20784.868325680301</v>
      </c>
      <c r="BE37" s="168">
        <f>IF($C37&gt;0,(IF($C37=$BE$7,(-FV(InflationRate,$BE$7,,$D37)),0)),0)</f>
        <v>0</v>
      </c>
      <c r="BF37" s="149">
        <f>IF($C37&gt;0,(IF($BE$7&gt;=$C37+1, (-FV(InflationRate,$BE$7,,$E37)), 0)),0)</f>
        <v>826694.15511355817</v>
      </c>
      <c r="BG37" s="149">
        <f>IF($C37&gt;0,(IF($BE$7&gt;=$C37+1, (-FV(InflationRate,$BE$7,,$F37)), 0)),0)</f>
        <v>0</v>
      </c>
      <c r="BH37" s="171">
        <f>IF($C37&gt;0,(IF($BE$7&gt;=$C37+1, (-FV(InflationRate,$BE$7,,$G37)), 0)),0)</f>
        <v>21408.414375450709</v>
      </c>
      <c r="BI37" s="160">
        <f>IF($C37&gt;0,(IF($C37=$BI$7,(-FV(InflationRate,$BI$7,,$D37)),0)),0)</f>
        <v>0</v>
      </c>
      <c r="BJ37" s="150">
        <f>IF($C37&gt;0,(IF($BI$7&gt;=$C37+1, (-FV(InflationRate,$BI$7,,$E37)), 0)),0)</f>
        <v>851494.97976696491</v>
      </c>
      <c r="BK37" s="150">
        <f>IF($C37&gt;0,(IF($BI$7&gt;=$C37+1, (-FV(InflationRate,$BI$7,,$F37)), 0)),0)</f>
        <v>0</v>
      </c>
      <c r="BL37" s="176">
        <f>IF($C37&gt;0,(IF($BI$7&gt;=$C37+1, (-FV(InflationRate,$BI$7,,$G37)), 0)),0)</f>
        <v>22050.666806714231</v>
      </c>
      <c r="BM37" s="168">
        <f>IF($C37&gt;0,(IF($C37=$BM$7,(-FV(InflationRate,$BM$7,,$D37)),0)),0)</f>
        <v>0</v>
      </c>
      <c r="BN37" s="149">
        <f>IF($C37&gt;0,(IF($BM$7&gt;=$C37+1, (-FV(InflationRate,$BM$7,,$E37)), 0)),0)</f>
        <v>877039.82915997389</v>
      </c>
      <c r="BO37" s="149">
        <f>IF($C37&gt;0,(IF($BM$7&gt;=$C37+1, (-FV(InflationRate,$BM$7,,$F37)), 0)),0)</f>
        <v>0</v>
      </c>
      <c r="BP37" s="157">
        <f>IF($C37&gt;0,(IF($BM$7&gt;=$C37+1, (-FV(InflationRate,$BM$7,,$G37)), 0)),0)</f>
        <v>22712.186810915657</v>
      </c>
      <c r="BQ37" s="160">
        <f>IF($C37&gt;0,(IF($C37=$BQ$7,(-FV(InflationRate,$BQ$7,,$D37)),0)),0)</f>
        <v>0</v>
      </c>
      <c r="BR37" s="150">
        <f>IF($C37&gt;0,(IF($BQ$7&gt;=$C37+1, (-FV(InflationRate,$BQ$7,,$E37)), 0)),0)</f>
        <v>903351.02403477312</v>
      </c>
      <c r="BS37" s="150">
        <f>IF($C37&gt;0,(IF($BQ$7&gt;=$C37+1, (-FV(InflationRate,$BQ$7,,$F37)), 0)),0)</f>
        <v>0</v>
      </c>
      <c r="BT37" s="176">
        <f>IF($C37&gt;0,(IF($BQ$7&gt;=$C37+1, (-FV(InflationRate,$BQ$7,,$G37)), 0)),0)</f>
        <v>23393.552415243128</v>
      </c>
      <c r="BU37" s="168">
        <f>IF($C37&gt;0,(IF($C37=$BU$7,(-FV(InflationRate,$BU$7,,$D37)),0)),0)</f>
        <v>0</v>
      </c>
      <c r="BV37" s="149">
        <f>IF($C37&gt;0,(IF($BU$7&gt;=$C37+1, (-FV(InflationRate,$BU$7,,$E37)), 0)),0)</f>
        <v>930451.55475581612</v>
      </c>
      <c r="BW37" s="149">
        <f>IF($C37&gt;0,(IF($BU$7&gt;=$C37+1, (-FV(InflationRate,$BU$7,,$F37)), 0)),0)</f>
        <v>0</v>
      </c>
      <c r="BX37" s="157">
        <f>IF($C37&gt;0,(IF($BU$7&gt;=$C37+1, (-FV(InflationRate,$BU$7,,$G37)), 0)),0)</f>
        <v>24095.35898770042</v>
      </c>
      <c r="BY37" s="160">
        <f>IF($C37&gt;0,(IF($C37=$BY$7,(-FV(InflationRate,$BY$7,,$D37)),0)),0)</f>
        <v>0</v>
      </c>
      <c r="BZ37" s="150">
        <f>IF($C37&gt;0,(IF($BY$7&gt;=$C37+1, (-FV(InflationRate,$BY$7,,$E37)), 0)),0)</f>
        <v>958365.1013984906</v>
      </c>
      <c r="CA37" s="150">
        <f>IF($C37&gt;0,(IF($BY$7&gt;=$C37+1, (-FV(InflationRate,$BY$7,,$F37)), 0)),0)</f>
        <v>0</v>
      </c>
      <c r="CB37" s="176">
        <f>IF($C37&gt;0,(IF($BY$7&gt;=$C37+1, (-FV(InflationRate,$BY$7,,$G37)), 0)),0)</f>
        <v>24818.21975733143</v>
      </c>
      <c r="CC37" s="168">
        <f>IF($C37&gt;0,(IF($C37=$CC$7,(-FV(InflationRate,$CC$7,,$D37)),0)),0)</f>
        <v>0</v>
      </c>
      <c r="CD37" s="149">
        <f>IF($C37&gt;0,(IF($CC$7&gt;=$C37+1, (-FV(InflationRate,$CC$7,,$E37)), 0)),0)</f>
        <v>987116.0544404455</v>
      </c>
      <c r="CE37" s="149">
        <f>IF($C37&gt;0,(IF($CC$7&gt;=$C37+1, (-FV(InflationRate,$CC$7,,$F37)), 0)),0)</f>
        <v>0</v>
      </c>
      <c r="CF37" s="157">
        <f>IF($C37&gt;0,(IF($CC$7&gt;=$C37+1, (-FV(InflationRate,$CC$7,,$G37)), 0)),0)</f>
        <v>25562.766350051377</v>
      </c>
      <c r="CG37" s="160">
        <f>IF($C37&gt;0,(IF($C37=$CG$7,(-FV(InflationRate,$CG$7,,$D37)),0)),0)</f>
        <v>0</v>
      </c>
      <c r="CH37" s="150">
        <f>IF($C37&gt;0,(IF($CG$7&gt;=$C37+1, (-FV(InflationRate,$CG$7,,$E37)), 0)),0)</f>
        <v>1016729.5360736588</v>
      </c>
      <c r="CI37" s="150">
        <f>IF($C37&gt;0,(IF($CG$7&gt;=$C37+1, (-FV(InflationRate,$CG$7,,$F37)), 0)),0)</f>
        <v>0</v>
      </c>
      <c r="CJ37" s="176">
        <f>IF($C37&gt;0,(IF($CG$7&gt;=$C37+1, (-FV(InflationRate,$CG$7,,$G37)), 0)),0)</f>
        <v>26329.649340552918</v>
      </c>
      <c r="CK37" s="168">
        <f>IF($C37&gt;0,(IF($C37=$CK$7,(-FV(InflationRate,$CK$7,,$D37)),0)),0)</f>
        <v>0</v>
      </c>
      <c r="CL37" s="149">
        <f>IF($C37&gt;0,(IF($CK$7&gt;=$C37+1, (-FV(InflationRate,$CK$7,,$E37)), 0)),0)</f>
        <v>1047231.4221558685</v>
      </c>
      <c r="CM37" s="149">
        <f>IF($C37&gt;0,(IF($CK$7&gt;=$C37+1, (-FV(InflationRate,$CK$7,,$F37)), 0)),0)</f>
        <v>0</v>
      </c>
      <c r="CN37" s="157">
        <f>IF($C37&gt;0,(IF($CK$7&gt;=$C37+1, (-FV(InflationRate,$CK$7,,$G37)), 0)),0)</f>
        <v>27119.538820769503</v>
      </c>
      <c r="CO37" s="160">
        <f>IF($C37&gt;0,(IF($C37=$CO$7,(-FV(InflationRate,$CO$7,,$D37)),0)),0)</f>
        <v>0</v>
      </c>
      <c r="CP37" s="150">
        <f>IF($C37&gt;0,(IF($CO$7&gt;=$C37+1, (-FV(InflationRate,$CO$7,,$E37)), 0)),0)</f>
        <v>1078648.3648205446</v>
      </c>
      <c r="CQ37" s="150">
        <f>IF($C37&gt;0,(IF($CO$7&gt;=$C37+1, (-FV(InflationRate,$CO$7,,$F37)), 0)),0)</f>
        <v>0</v>
      </c>
      <c r="CR37" s="176">
        <f>IF($C37&gt;0,(IF($CO$7&gt;=$C37+1, (-FV(InflationRate,$CO$7,,$G37)), 0)),0)</f>
        <v>27933.124985392587</v>
      </c>
      <c r="CS37" s="168">
        <f>IF($C37&gt;0,(IF($C37=$CS$7,(-FV(InflationRate,$CS$7,,$D37)),0)),0)</f>
        <v>0</v>
      </c>
      <c r="CT37" s="149">
        <f>IF($C37&gt;0,(IF($CS$7&gt;=$C37+1, (-FV(InflationRate,$CS$7,,$E37)), 0)),0)</f>
        <v>1111007.8157651608</v>
      </c>
      <c r="CU37" s="149">
        <f>IF($C37&gt;0,(IF($CS$7&gt;=$C37+1, (-FV(InflationRate,$CS$7,,$F37)), 0)),0)</f>
        <v>0</v>
      </c>
      <c r="CV37" s="157">
        <f>IF($C37&gt;0,(IF($CS$7&gt;=$C37+1, (-FV(InflationRate,$CS$7,,$G37)), 0)),0)</f>
        <v>28771.118734954365</v>
      </c>
      <c r="CW37" s="160">
        <f>IF($C37&gt;0,(IF($C37=$CW$7,(-FV(InflationRate,$CW$7,,$D37)),0)),0)</f>
        <v>0</v>
      </c>
      <c r="CX37" s="150">
        <f>IF($C37&gt;0,(IF($CW$7&gt;=$C37+1, (-FV(InflationRate,$CW$7,,$E37)), 0)),0)</f>
        <v>1144338.0502381157</v>
      </c>
      <c r="CY37" s="150">
        <f>IF($C37&gt;0,(IF($CW$7&gt;=$C37+1, (-FV(InflationRate,$CW$7,,$F37)), 0)),0)</f>
        <v>0</v>
      </c>
      <c r="CZ37" s="176">
        <f>IF($C37&gt;0,(IF($CW$7&gt;=$C37+1, (-FV(InflationRate,$CW$7,,$G37)), 0)),0)</f>
        <v>29634.252297002993</v>
      </c>
      <c r="DA37" s="168">
        <f>IF($C37&gt;0,(IF($C37=$DA$7,(-FV(InflationRate,$DA$7,,$D37)),0)),0)</f>
        <v>0</v>
      </c>
      <c r="DB37" s="149">
        <f>IF($C37&gt;0,(IF($DA$7&gt;=$C37+1, (-FV(InflationRate,$DA$7,,$E37)), 0)),0)</f>
        <v>1178668.1917452591</v>
      </c>
      <c r="DC37" s="149">
        <f>IF($C37&gt;0,(IF($DA$7&gt;=$C37+1, (-FV(InflationRate,$DA$7,,$F37)), 0)),0)</f>
        <v>0</v>
      </c>
      <c r="DD37" s="157">
        <f>IF($C37&gt;0,(IF($DA$7&gt;=$C37+1, (-FV(InflationRate,$DA$7,,$G37)), 0)),0)</f>
        <v>30523.279865913086</v>
      </c>
    </row>
    <row r="38" spans="2:108" ht="12.75" customHeight="1" x14ac:dyDescent="0.2">
      <c r="B38" s="183" t="s">
        <v>203</v>
      </c>
      <c r="C38" s="556">
        <v>3</v>
      </c>
      <c r="D38" s="168"/>
      <c r="E38" s="149"/>
      <c r="F38" s="558">
        <v>191500</v>
      </c>
      <c r="G38" s="149"/>
      <c r="H38" s="168">
        <f>SUM(I38:AB38)</f>
        <v>3892179.8849055888</v>
      </c>
      <c r="I38" s="610">
        <f>-PV(InterestRate,I$8,,(SUM(AC38:AF38)))</f>
        <v>0</v>
      </c>
      <c r="J38" s="610">
        <f>-PV(InterestRate,J$8,,(SUM(AG38:AJ38)))</f>
        <v>0</v>
      </c>
      <c r="K38" s="610">
        <f>-PV(InterestRate,K$8,,(SUM(AK38:AN38)))</f>
        <v>0</v>
      </c>
      <c r="L38" s="610">
        <f>-PV(InterestRate,L$8,,(SUM(AO38:AR38)))</f>
        <v>203073.61882559382</v>
      </c>
      <c r="M38" s="610">
        <f>-PV(InterestRate,M$8,,(SUM(AS38:AV38)))</f>
        <v>206074.70678853366</v>
      </c>
      <c r="N38" s="610">
        <f>-PV(InterestRate,N$8,,(SUM(AW38:AZ38)))</f>
        <v>209120.14580511299</v>
      </c>
      <c r="O38" s="610">
        <f>-PV(InterestRate,O$8,,(SUM(BA38:BD38)))</f>
        <v>212210.5913096221</v>
      </c>
      <c r="P38" s="610">
        <f>-PV(InterestRate,P$8,,(SUM(BE38:BH38)))</f>
        <v>215346.70842257218</v>
      </c>
      <c r="Q38" s="610">
        <f>-PV(InterestRate,Q$8,,(SUM(BI38:BL38)))</f>
        <v>218529.17209384177</v>
      </c>
      <c r="R38" s="610">
        <f>-PV(InterestRate,R$8,,(SUM(BM38:BP38)))</f>
        <v>221758.66724793796</v>
      </c>
      <c r="S38" s="610">
        <f>-PV(InterestRate,S$8,,(SUM(BQ38:BT38)))</f>
        <v>225035.88893140509</v>
      </c>
      <c r="T38" s="610">
        <f>-PV(InterestRate,T$8,,(SUM(BU38:BX38)))</f>
        <v>228361.54246241107</v>
      </c>
      <c r="U38" s="610">
        <f>-PV(InterestRate,U$8,,(SUM(BY38:CB38)))</f>
        <v>231736.34358254523</v>
      </c>
      <c r="V38" s="610">
        <f>-PV(InterestRate,V$8,,(SUM(CC38:CF38)))</f>
        <v>235161.01861085882</v>
      </c>
      <c r="W38" s="610">
        <f>-PV(InterestRate,W$8,,(SUM(CG38:CJ38)))</f>
        <v>238636.30460018184</v>
      </c>
      <c r="X38" s="610">
        <f>-PV(InterestRate,X$8,,(SUM(CK38:CN38)))</f>
        <v>242162.94949575103</v>
      </c>
      <c r="Y38" s="610">
        <f>-PV(InterestRate,Y$8,,(SUM(CO38:CR38)))</f>
        <v>245741.71229618092</v>
      </c>
      <c r="Z38" s="610">
        <f>-PV(InterestRate,Z$8,,(SUM(CS38:CV38)))</f>
        <v>249373.36321681415</v>
      </c>
      <c r="AA38" s="610">
        <f>-PV(InterestRate,AA$8,,(SUM(CW38:CZ38)))</f>
        <v>253058.68385548628</v>
      </c>
      <c r="AB38" s="611">
        <f>-PV(InterestRate,AB$8,,(SUM(DA38:DD38)))</f>
        <v>256798.46736073983</v>
      </c>
      <c r="AC38" s="160">
        <f>IF($C38&gt;0,(IF($C38=$AC$7,$D38,0)),0)</f>
        <v>0</v>
      </c>
      <c r="AD38" s="150">
        <f>IF($C38&gt;0,(IF($AC$7&gt;=$C38+1,$E38,0)),0)</f>
        <v>0</v>
      </c>
      <c r="AE38" s="150">
        <f>IF($C38&gt;0,(IF($C38=$AC$7,$F38,0)),0)</f>
        <v>0</v>
      </c>
      <c r="AF38" s="165">
        <f>IF($C38&gt;0,(IF($AC$7&gt;=$C38+1,$G38,0)),0)</f>
        <v>0</v>
      </c>
      <c r="AG38" s="168">
        <f>IF($C38&gt;0,(IF($C38=$AG$7,(-FV(InflationRate,$AG$7,,$D38)),0)),0)</f>
        <v>0</v>
      </c>
      <c r="AH38" s="149">
        <f>IF($C38&gt;0,(IF($AG$7&gt;=$C38+1, (-FV(InflationRate,$AG$7,,$E38)), 0)),0)</f>
        <v>0</v>
      </c>
      <c r="AI38" s="149">
        <f>IF($C38&gt;0,(IF($AG$7&gt;=$C38+1, (-FV(InflationRate,$AG$7,,$F38)), 0)),0)</f>
        <v>0</v>
      </c>
      <c r="AJ38" s="171">
        <f>IF($C38&gt;0,(IF($AG$7&gt;=$C38+1, (-FV(InflationRate,$AG$7,,$G38)), 0)),0)</f>
        <v>0</v>
      </c>
      <c r="AK38" s="160">
        <f>IF($C38&gt;0,(IF($C38=$AK$7,(-FV(InflationRate,$AK$7,,$D38)),0)),0)</f>
        <v>0</v>
      </c>
      <c r="AL38" s="150">
        <f>IF($C38&gt;0,(IF($AK$7&gt;=$C38+1, (-FV(InflationRate,$AK$7,,$E38)), 0)),0)</f>
        <v>0</v>
      </c>
      <c r="AM38" s="150">
        <f>IF($C38&gt;0,(IF($AK$7&gt;=$C38+1, (-FV(InflationRate,$AK$7,,$F38)), 0)),0)</f>
        <v>0</v>
      </c>
      <c r="AN38" s="165">
        <f>IF($C38&gt;0,(IF($AK$7&gt;=$C38+1, (-FV(InflationRate,$AK$7,,$G38)), 0)),0)</f>
        <v>0</v>
      </c>
      <c r="AO38" s="168">
        <f>IF($C38&gt;0,(IF($C38=$AO$7,(-FV(InflationRate,$AO$7,,$D38)),0)),0)</f>
        <v>0</v>
      </c>
      <c r="AP38" s="149">
        <f>IF($C38&gt;0,(IF($AO$7&gt;=$C38+1, (-FV(InflationRate,$AO$7,,$E38)), 0)),0)</f>
        <v>0</v>
      </c>
      <c r="AQ38" s="149">
        <f>IF($C38&gt;0,(IF($AO$7&gt;=$C38+1, (-FV(InflationRate,$AO$7,,$F38)), 0)),0)</f>
        <v>215534.93711499998</v>
      </c>
      <c r="AR38" s="157">
        <f>IF($C38&gt;0,(IF($AO$7&gt;=$C38+1, (-FV(InflationRate,$AO$7,,$G38)), 0)),0)</f>
        <v>0</v>
      </c>
      <c r="AS38" s="160">
        <f>IF($C38&gt;0,(IF($C38=$AS$7,(-FV(InflationRate,$AS$7,,$D38)),0)),0)</f>
        <v>0</v>
      </c>
      <c r="AT38" s="150">
        <f>IF($C38&gt;0,(IF($AS$7&gt;=$C38+1, (-FV(InflationRate,$AS$7,,$E38)), 0)),0)</f>
        <v>0</v>
      </c>
      <c r="AU38" s="150">
        <f>IF($C38&gt;0,(IF($AS$7&gt;=$C38+1, (-FV(InflationRate,$AS$7,,$F38)), 0)),0)</f>
        <v>222000.98522844998</v>
      </c>
      <c r="AV38" s="165">
        <f>IF($C38&gt;0,(IF($AS$7&gt;=$C38+1, (-FV(InflationRate,$AS$7,,$G38)), 0)),0)</f>
        <v>0</v>
      </c>
      <c r="AW38" s="168">
        <f>IF($C38&gt;0,(IF($C38=$AW$7,(-FV(InflationRate,$AW$7,,$D38)),0)),0)</f>
        <v>0</v>
      </c>
      <c r="AX38" s="149">
        <f>IF($C38&gt;0,(IF($AW$7&gt;=$C38+1, (-FV(InflationRate,$AW$7,,$E38)), 0)),0)</f>
        <v>0</v>
      </c>
      <c r="AY38" s="149">
        <f>IF($C38&gt;0,(IF($AW$7&gt;=$C38+1, (-FV(InflationRate,$AW$7,,$F38)), 0)),0)</f>
        <v>228661.01478530347</v>
      </c>
      <c r="AZ38" s="157">
        <f>IF($C38&gt;0,(IF($AW$7&gt;=$C38+1, (-FV(InflationRate,$AW$7,,$G38)), 0)),0)</f>
        <v>0</v>
      </c>
      <c r="BA38" s="160">
        <f>IF($C38&gt;0,(IF($C38=$BA$7,(-FV(InflationRate,$BA$7,,$D38)),0)),0)</f>
        <v>0</v>
      </c>
      <c r="BB38" s="150">
        <f>IF($C38&gt;0,(IF($BA$7&gt;=$C38+1, (-FV(InflationRate,$BA$7,,$E38)), 0)),0)</f>
        <v>0</v>
      </c>
      <c r="BC38" s="150">
        <f>IF($C38&gt;0,(IF($BA$7&gt;=$C38+1, (-FV(InflationRate,$BA$7,,$F38)), 0)),0)</f>
        <v>235520.8452288626</v>
      </c>
      <c r="BD38" s="176">
        <f>IF($C38&gt;0,(IF($BA$7&gt;=$C38+1, (-FV(InflationRate,$BA$7,,$G38)), 0)),0)</f>
        <v>0</v>
      </c>
      <c r="BE38" s="168">
        <f>IF($C38&gt;0,(IF($C38=$BE$7,(-FV(InflationRate,$BE$7,,$D38)),0)),0)</f>
        <v>0</v>
      </c>
      <c r="BF38" s="149">
        <f>IF($C38&gt;0,(IF($BE$7&gt;=$C38+1, (-FV(InflationRate,$BE$7,,$E38)), 0)),0)</f>
        <v>0</v>
      </c>
      <c r="BG38" s="149">
        <f>IF($C38&gt;0,(IF($BE$7&gt;=$C38+1, (-FV(InflationRate,$BE$7,,$F38)), 0)),0)</f>
        <v>242586.47058572844</v>
      </c>
      <c r="BH38" s="171">
        <f>IF($C38&gt;0,(IF($BE$7&gt;=$C38+1, (-FV(InflationRate,$BE$7,,$G38)), 0)),0)</f>
        <v>0</v>
      </c>
      <c r="BI38" s="160">
        <f>IF($C38&gt;0,(IF($C38=$BI$7,(-FV(InflationRate,$BI$7,,$D38)),0)),0)</f>
        <v>0</v>
      </c>
      <c r="BJ38" s="150">
        <f>IF($C38&gt;0,(IF($BI$7&gt;=$C38+1, (-FV(InflationRate,$BI$7,,$E38)), 0)),0)</f>
        <v>0</v>
      </c>
      <c r="BK38" s="150">
        <f>IF($C38&gt;0,(IF($BI$7&gt;=$C38+1, (-FV(InflationRate,$BI$7,,$F38)), 0)),0)</f>
        <v>249864.0647033003</v>
      </c>
      <c r="BL38" s="176">
        <f>IF($C38&gt;0,(IF($BI$7&gt;=$C38+1, (-FV(InflationRate,$BI$7,,$G38)), 0)),0)</f>
        <v>0</v>
      </c>
      <c r="BM38" s="168">
        <f>IF($C38&gt;0,(IF($C38=$BM$7,(-FV(InflationRate,$BM$7,,$D38)),0)),0)</f>
        <v>0</v>
      </c>
      <c r="BN38" s="149">
        <f>IF($C38&gt;0,(IF($BM$7&gt;=$C38+1, (-FV(InflationRate,$BM$7,,$E38)), 0)),0)</f>
        <v>0</v>
      </c>
      <c r="BO38" s="149">
        <f>IF($C38&gt;0,(IF($BM$7&gt;=$C38+1, (-FV(InflationRate,$BM$7,,$F38)), 0)),0)</f>
        <v>257359.98664439932</v>
      </c>
      <c r="BP38" s="157">
        <f>IF($C38&gt;0,(IF($BM$7&gt;=$C38+1, (-FV(InflationRate,$BM$7,,$G38)), 0)),0)</f>
        <v>0</v>
      </c>
      <c r="BQ38" s="160">
        <f>IF($C38&gt;0,(IF($C38=$BQ$7,(-FV(InflationRate,$BQ$7,,$D38)),0)),0)</f>
        <v>0</v>
      </c>
      <c r="BR38" s="150">
        <f>IF($C38&gt;0,(IF($BQ$7&gt;=$C38+1, (-FV(InflationRate,$BQ$7,,$E38)), 0)),0)</f>
        <v>0</v>
      </c>
      <c r="BS38" s="150">
        <f>IF($C38&gt;0,(IF($BQ$7&gt;=$C38+1, (-FV(InflationRate,$BQ$7,,$F38)), 0)),0)</f>
        <v>265080.78624373133</v>
      </c>
      <c r="BT38" s="176">
        <f>IF($C38&gt;0,(IF($BQ$7&gt;=$C38+1, (-FV(InflationRate,$BQ$7,,$G38)), 0)),0)</f>
        <v>0</v>
      </c>
      <c r="BU38" s="168">
        <f>IF($C38&gt;0,(IF($C38=$BU$7,(-FV(InflationRate,$BU$7,,$D38)),0)),0)</f>
        <v>0</v>
      </c>
      <c r="BV38" s="149">
        <f>IF($C38&gt;0,(IF($BU$7&gt;=$C38+1, (-FV(InflationRate,$BU$7,,$E38)), 0)),0)</f>
        <v>0</v>
      </c>
      <c r="BW38" s="149">
        <f>IF($C38&gt;0,(IF($BU$7&gt;=$C38+1, (-FV(InflationRate,$BU$7,,$F38)), 0)),0)</f>
        <v>273033.2098310432</v>
      </c>
      <c r="BX38" s="157">
        <f>IF($C38&gt;0,(IF($BU$7&gt;=$C38+1, (-FV(InflationRate,$BU$7,,$G38)), 0)),0)</f>
        <v>0</v>
      </c>
      <c r="BY38" s="160">
        <f>IF($C38&gt;0,(IF($C38=$BY$7,(-FV(InflationRate,$BY$7,,$D38)),0)),0)</f>
        <v>0</v>
      </c>
      <c r="BZ38" s="150">
        <f>IF($C38&gt;0,(IF($BY$7&gt;=$C38+1, (-FV(InflationRate,$BY$7,,$E38)), 0)),0)</f>
        <v>0</v>
      </c>
      <c r="CA38" s="150">
        <f>IF($C38&gt;0,(IF($BY$7&gt;=$C38+1, (-FV(InflationRate,$BY$7,,$F38)), 0)),0)</f>
        <v>281224.20612597448</v>
      </c>
      <c r="CB38" s="176">
        <f>IF($C38&gt;0,(IF($BY$7&gt;=$C38+1, (-FV(InflationRate,$BY$7,,$G38)), 0)),0)</f>
        <v>0</v>
      </c>
      <c r="CC38" s="168">
        <f>IF($C38&gt;0,(IF($C38=$CC$7,(-FV(InflationRate,$CC$7,,$D38)),0)),0)</f>
        <v>0</v>
      </c>
      <c r="CD38" s="149">
        <f>IF($C38&gt;0,(IF($CC$7&gt;=$C38+1, (-FV(InflationRate,$CC$7,,$E38)), 0)),0)</f>
        <v>0</v>
      </c>
      <c r="CE38" s="149">
        <f>IF($C38&gt;0,(IF($CC$7&gt;=$C38+1, (-FV(InflationRate,$CC$7,,$F38)), 0)),0)</f>
        <v>289660.93230975379</v>
      </c>
      <c r="CF38" s="157">
        <f>IF($C38&gt;0,(IF($CC$7&gt;=$C38+1, (-FV(InflationRate,$CC$7,,$G38)), 0)),0)</f>
        <v>0</v>
      </c>
      <c r="CG38" s="160">
        <f>IF($C38&gt;0,(IF($C38=$CG$7,(-FV(InflationRate,$CG$7,,$D38)),0)),0)</f>
        <v>0</v>
      </c>
      <c r="CH38" s="150">
        <f>IF($C38&gt;0,(IF($CG$7&gt;=$C38+1, (-FV(InflationRate,$CG$7,,$E38)), 0)),0)</f>
        <v>0</v>
      </c>
      <c r="CI38" s="150">
        <f>IF($C38&gt;0,(IF($CG$7&gt;=$C38+1, (-FV(InflationRate,$CG$7,,$F38)), 0)),0)</f>
        <v>298350.76027904637</v>
      </c>
      <c r="CJ38" s="176">
        <f>IF($C38&gt;0,(IF($CG$7&gt;=$C38+1, (-FV(InflationRate,$CG$7,,$G38)), 0)),0)</f>
        <v>0</v>
      </c>
      <c r="CK38" s="168">
        <f>IF($C38&gt;0,(IF($C38=$CK$7,(-FV(InflationRate,$CK$7,,$D38)),0)),0)</f>
        <v>0</v>
      </c>
      <c r="CL38" s="149">
        <f>IF($C38&gt;0,(IF($CK$7&gt;=$C38+1, (-FV(InflationRate,$CK$7,,$E38)), 0)),0)</f>
        <v>0</v>
      </c>
      <c r="CM38" s="149">
        <f>IF($C38&gt;0,(IF($CK$7&gt;=$C38+1, (-FV(InflationRate,$CK$7,,$F38)), 0)),0)</f>
        <v>307301.28308741772</v>
      </c>
      <c r="CN38" s="157">
        <f>IF($C38&gt;0,(IF($CK$7&gt;=$C38+1, (-FV(InflationRate,$CK$7,,$G38)), 0)),0)</f>
        <v>0</v>
      </c>
      <c r="CO38" s="160">
        <f>IF($C38&gt;0,(IF($C38=$CO$7,(-FV(InflationRate,$CO$7,,$D38)),0)),0)</f>
        <v>0</v>
      </c>
      <c r="CP38" s="150">
        <f>IF($C38&gt;0,(IF($CO$7&gt;=$C38+1, (-FV(InflationRate,$CO$7,,$E38)), 0)),0)</f>
        <v>0</v>
      </c>
      <c r="CQ38" s="150">
        <f>IF($C38&gt;0,(IF($CO$7&gt;=$C38+1, (-FV(InflationRate,$CO$7,,$F38)), 0)),0)</f>
        <v>316520.32158004027</v>
      </c>
      <c r="CR38" s="176">
        <f>IF($C38&gt;0,(IF($CO$7&gt;=$C38+1, (-FV(InflationRate,$CO$7,,$G38)), 0)),0)</f>
        <v>0</v>
      </c>
      <c r="CS38" s="168">
        <f>IF($C38&gt;0,(IF($C38=$CS$7,(-FV(InflationRate,$CS$7,,$D38)),0)),0)</f>
        <v>0</v>
      </c>
      <c r="CT38" s="149">
        <f>IF($C38&gt;0,(IF($CS$7&gt;=$C38+1, (-FV(InflationRate,$CS$7,,$E38)), 0)),0)</f>
        <v>0</v>
      </c>
      <c r="CU38" s="149">
        <f>IF($C38&gt;0,(IF($CS$7&gt;=$C38+1, (-FV(InflationRate,$CS$7,,$F38)), 0)),0)</f>
        <v>326015.93122744147</v>
      </c>
      <c r="CV38" s="157">
        <f>IF($C38&gt;0,(IF($CS$7&gt;=$C38+1, (-FV(InflationRate,$CS$7,,$G38)), 0)),0)</f>
        <v>0</v>
      </c>
      <c r="CW38" s="160">
        <f>IF($C38&gt;0,(IF($C38=$CW$7,(-FV(InflationRate,$CW$7,,$D38)),0)),0)</f>
        <v>0</v>
      </c>
      <c r="CX38" s="150">
        <f>IF($C38&gt;0,(IF($CW$7&gt;=$C38+1, (-FV(InflationRate,$CW$7,,$E38)), 0)),0)</f>
        <v>0</v>
      </c>
      <c r="CY38" s="150">
        <f>IF($C38&gt;0,(IF($CW$7&gt;=$C38+1, (-FV(InflationRate,$CW$7,,$F38)), 0)),0)</f>
        <v>335796.40916426468</v>
      </c>
      <c r="CZ38" s="176">
        <f>IF($C38&gt;0,(IF($CW$7&gt;=$C38+1, (-FV(InflationRate,$CW$7,,$G38)), 0)),0)</f>
        <v>0</v>
      </c>
      <c r="DA38" s="168">
        <f>IF($C38&gt;0,(IF($C38=$DA$7,(-FV(InflationRate,$DA$7,,$D38)),0)),0)</f>
        <v>0</v>
      </c>
      <c r="DB38" s="149">
        <f>IF($C38&gt;0,(IF($DA$7&gt;=$C38+1, (-FV(InflationRate,$DA$7,,$E38)), 0)),0)</f>
        <v>0</v>
      </c>
      <c r="DC38" s="149">
        <f>IF($C38&gt;0,(IF($DA$7&gt;=$C38+1, (-FV(InflationRate,$DA$7,,$F38)), 0)),0)</f>
        <v>345870.30143919261</v>
      </c>
      <c r="DD38" s="157">
        <f>IF($C38&gt;0,(IF($DA$7&gt;=$C38+1, (-FV(InflationRate,$DA$7,,$G38)), 0)),0)</f>
        <v>0</v>
      </c>
    </row>
    <row r="39" spans="2:108" ht="12.75" customHeight="1" x14ac:dyDescent="0.2">
      <c r="B39" s="182" t="s">
        <v>217</v>
      </c>
      <c r="C39" s="189"/>
      <c r="D39" s="168"/>
      <c r="E39" s="149"/>
      <c r="F39" s="149"/>
      <c r="G39" s="149"/>
      <c r="H39" s="168"/>
      <c r="I39" s="600"/>
      <c r="J39" s="600"/>
      <c r="K39" s="600"/>
      <c r="L39" s="600"/>
      <c r="M39" s="600"/>
      <c r="N39" s="600"/>
      <c r="O39" s="600"/>
      <c r="P39" s="600"/>
      <c r="Q39" s="600"/>
      <c r="R39" s="600"/>
      <c r="S39" s="600"/>
      <c r="T39" s="600"/>
      <c r="U39" s="600"/>
      <c r="V39" s="600"/>
      <c r="W39" s="600"/>
      <c r="X39" s="600"/>
      <c r="Y39" s="600"/>
      <c r="Z39" s="600"/>
      <c r="AA39" s="600"/>
      <c r="AB39" s="601"/>
      <c r="AC39" s="160"/>
      <c r="AD39" s="150"/>
      <c r="AE39" s="150"/>
      <c r="AF39" s="165"/>
      <c r="AG39" s="168"/>
      <c r="AH39" s="149"/>
      <c r="AI39" s="149"/>
      <c r="AJ39" s="171"/>
      <c r="AK39" s="160"/>
      <c r="AL39" s="150"/>
      <c r="AM39" s="150"/>
      <c r="AN39" s="165"/>
      <c r="AO39" s="168"/>
      <c r="AP39" s="149"/>
      <c r="AQ39" s="149"/>
      <c r="AR39" s="157"/>
      <c r="AS39" s="160"/>
      <c r="AT39" s="150"/>
      <c r="AU39" s="150"/>
      <c r="AV39" s="165"/>
      <c r="AW39" s="168"/>
      <c r="AX39" s="149"/>
      <c r="AY39" s="149"/>
      <c r="AZ39" s="157"/>
      <c r="BA39" s="160"/>
      <c r="BB39" s="150"/>
      <c r="BC39" s="150"/>
      <c r="BD39" s="176"/>
      <c r="BE39" s="168"/>
      <c r="BF39" s="149"/>
      <c r="BG39" s="149"/>
      <c r="BH39" s="171"/>
      <c r="BI39" s="160"/>
      <c r="BJ39" s="150"/>
      <c r="BK39" s="150"/>
      <c r="BL39" s="176"/>
      <c r="BM39" s="168"/>
      <c r="BN39" s="149"/>
      <c r="BO39" s="149"/>
      <c r="BP39" s="157"/>
      <c r="BQ39" s="160"/>
      <c r="BR39" s="150"/>
      <c r="BS39" s="150"/>
      <c r="BT39" s="176"/>
      <c r="BU39" s="168"/>
      <c r="BV39" s="149"/>
      <c r="BW39" s="149"/>
      <c r="BX39" s="157"/>
      <c r="BY39" s="160"/>
      <c r="BZ39" s="150"/>
      <c r="CA39" s="150"/>
      <c r="CB39" s="176"/>
      <c r="CC39" s="168"/>
      <c r="CD39" s="149"/>
      <c r="CE39" s="149"/>
      <c r="CF39" s="157"/>
      <c r="CG39" s="160"/>
      <c r="CH39" s="150"/>
      <c r="CI39" s="150"/>
      <c r="CJ39" s="176"/>
      <c r="CK39" s="168"/>
      <c r="CL39" s="149"/>
      <c r="CM39" s="149"/>
      <c r="CN39" s="157"/>
      <c r="CO39" s="160"/>
      <c r="CP39" s="150"/>
      <c r="CQ39" s="150"/>
      <c r="CR39" s="176"/>
      <c r="CS39" s="168"/>
      <c r="CT39" s="149"/>
      <c r="CU39" s="149"/>
      <c r="CV39" s="157"/>
      <c r="CW39" s="160"/>
      <c r="CX39" s="150"/>
      <c r="CY39" s="150"/>
      <c r="CZ39" s="176"/>
      <c r="DA39" s="168"/>
      <c r="DB39" s="149"/>
      <c r="DC39" s="149"/>
      <c r="DD39" s="157"/>
    </row>
    <row r="40" spans="2:108" ht="12.75" customHeight="1" x14ac:dyDescent="0.2">
      <c r="B40" s="183" t="s">
        <v>220</v>
      </c>
      <c r="C40" s="556"/>
      <c r="D40" s="557">
        <v>0</v>
      </c>
      <c r="E40" s="149"/>
      <c r="F40" s="149"/>
      <c r="G40" s="149"/>
      <c r="H40" s="168">
        <f>SUM(I40:AB40)</f>
        <v>0</v>
      </c>
      <c r="I40" s="610">
        <f>-PV(InterestRate,I$8,,(SUM(AC40:AF40)))</f>
        <v>0</v>
      </c>
      <c r="J40" s="610">
        <f>-PV(InterestRate,J$8,,(SUM(AG40:AJ40)))</f>
        <v>0</v>
      </c>
      <c r="K40" s="610">
        <f>-PV(InterestRate,K$8,,(SUM(AK40:AN40)))</f>
        <v>0</v>
      </c>
      <c r="L40" s="610">
        <f>-PV(InterestRate,L$8,,(SUM(AO40:AR40)))</f>
        <v>0</v>
      </c>
      <c r="M40" s="610">
        <f>-PV(InterestRate,M$8,,(SUM(AS40:AV40)))</f>
        <v>0</v>
      </c>
      <c r="N40" s="610">
        <f>-PV(InterestRate,N$8,,(SUM(AW40:AZ40)))</f>
        <v>0</v>
      </c>
      <c r="O40" s="610">
        <f>-PV(InterestRate,O$8,,(SUM(BA40:BD40)))</f>
        <v>0</v>
      </c>
      <c r="P40" s="610">
        <f>-PV(InterestRate,P$8,,(SUM(BE40:BH40)))</f>
        <v>0</v>
      </c>
      <c r="Q40" s="610">
        <f>-PV(InterestRate,Q$8,,(SUM(BI40:BL40)))</f>
        <v>0</v>
      </c>
      <c r="R40" s="610">
        <f>-PV(InterestRate,R$8,,(SUM(BM40:BP40)))</f>
        <v>0</v>
      </c>
      <c r="S40" s="610">
        <f>-PV(InterestRate,S$8,,(SUM(BQ40:BT40)))</f>
        <v>0</v>
      </c>
      <c r="T40" s="610">
        <f>-PV(InterestRate,T$8,,(SUM(BU40:BX40)))</f>
        <v>0</v>
      </c>
      <c r="U40" s="610">
        <f>-PV(InterestRate,U$8,,(SUM(BY40:CB40)))</f>
        <v>0</v>
      </c>
      <c r="V40" s="610">
        <f>-PV(InterestRate,V$8,,(SUM(CC40:CF40)))</f>
        <v>0</v>
      </c>
      <c r="W40" s="610">
        <f>-PV(InterestRate,W$8,,(SUM(CG40:CJ40)))</f>
        <v>0</v>
      </c>
      <c r="X40" s="610">
        <f>-PV(InterestRate,X$8,,(SUM(CK40:CN40)))</f>
        <v>0</v>
      </c>
      <c r="Y40" s="610">
        <f>-PV(InterestRate,Y$8,,(SUM(CO40:CR40)))</f>
        <v>0</v>
      </c>
      <c r="Z40" s="610">
        <f>-PV(InterestRate,Z$8,,(SUM(CS40:CV40)))</f>
        <v>0</v>
      </c>
      <c r="AA40" s="610">
        <f>-PV(InterestRate,AA$8,,(SUM(CW40:CZ40)))</f>
        <v>0</v>
      </c>
      <c r="AB40" s="611">
        <f>-PV(InterestRate,AB$8,,(SUM(DA40:DD40)))</f>
        <v>0</v>
      </c>
      <c r="AC40" s="160">
        <f>IF($C40&gt;0,(IF($C40=$AC$7,$D40,0)),0)</f>
        <v>0</v>
      </c>
      <c r="AD40" s="150">
        <f>IF($C40&gt;0,(IF($AC$7&gt;=$C40+1,$E40,0)),0)</f>
        <v>0</v>
      </c>
      <c r="AE40" s="150">
        <f>IF($C40&gt;0,(IF($C40=$AC$7,$F40,0)),0)</f>
        <v>0</v>
      </c>
      <c r="AF40" s="165">
        <f>IF($C40&gt;0,(IF($AC$7&gt;=$C40+1,$G40,0)),0)</f>
        <v>0</v>
      </c>
      <c r="AG40" s="168">
        <f>IF($C40&gt;0,(IF($C40=$AG$7,(-FV(InflationRate,$AG$7,,$D40)),0)),0)</f>
        <v>0</v>
      </c>
      <c r="AH40" s="149">
        <f>IF($C40&gt;0,(IF($AG$7&gt;=$C40+1, (-FV(InflationRate,$AG$7,,$E40)), 0)),0)</f>
        <v>0</v>
      </c>
      <c r="AI40" s="149">
        <f>IF($C40&gt;0,(IF($AG$7&gt;=$C40+1, (-FV(InflationRate,$AG$7,,$F40)), 0)),0)</f>
        <v>0</v>
      </c>
      <c r="AJ40" s="171">
        <f>IF($C40&gt;0,(IF($AG$7&gt;=$C40+1, (-FV(InflationRate,$AG$7,,$G40)), 0)),0)</f>
        <v>0</v>
      </c>
      <c r="AK40" s="160">
        <f>IF($C40&gt;0,(IF($C40=$AK$7,(-FV(InflationRate,$AK$7,,$D40)),0)),0)</f>
        <v>0</v>
      </c>
      <c r="AL40" s="150">
        <f>IF($C40&gt;0,(IF($AK$7&gt;=$C40+1, (-FV(InflationRate,$AK$7,,$E40)), 0)),0)</f>
        <v>0</v>
      </c>
      <c r="AM40" s="150">
        <f>IF($C40&gt;0,(IF($AK$7&gt;=$C40+1, (-FV(InflationRate,$AK$7,,$F40)), 0)),0)</f>
        <v>0</v>
      </c>
      <c r="AN40" s="165">
        <f>IF($C40&gt;0,(IF($AK$7&gt;=$C40+1, (-FV(InflationRate,$AK$7,,$G40)), 0)),0)</f>
        <v>0</v>
      </c>
      <c r="AO40" s="168">
        <f>IF($C40&gt;0,(IF($C40=$AO$7,(-FV(InflationRate,$AO$7,,$D40)),0)),0)</f>
        <v>0</v>
      </c>
      <c r="AP40" s="149">
        <f>IF($C40&gt;0,(IF($AO$7&gt;=$C40+1, (-FV(InflationRate,$AO$7,,$E40)), 0)),0)</f>
        <v>0</v>
      </c>
      <c r="AQ40" s="149">
        <f>IF($C40&gt;0,(IF($AO$7&gt;=$C40+1, (-FV(InflationRate,$AO$7,,$F40)), 0)),0)</f>
        <v>0</v>
      </c>
      <c r="AR40" s="157">
        <f>IF($C40&gt;0,(IF($AO$7&gt;=$C40+1, (-FV(InflationRate,$AO$7,,$G40)), 0)),0)</f>
        <v>0</v>
      </c>
      <c r="AS40" s="160">
        <f>IF($C40&gt;0,(IF($C40=$AS$7,(-FV(InflationRate,$AS$7,,$D40)),0)),0)</f>
        <v>0</v>
      </c>
      <c r="AT40" s="150">
        <f>IF($C40&gt;0,(IF($AS$7&gt;=$C40+1, (-FV(InflationRate,$AS$7,,$E40)), 0)),0)</f>
        <v>0</v>
      </c>
      <c r="AU40" s="150">
        <f>IF($C40&gt;0,(IF($AS$7&gt;=$C40+1, (-FV(InflationRate,$AS$7,,$F40)), 0)),0)</f>
        <v>0</v>
      </c>
      <c r="AV40" s="165">
        <f>IF($C40&gt;0,(IF($AS$7&gt;=$C40+1, (-FV(InflationRate,$AS$7,,$G40)), 0)),0)</f>
        <v>0</v>
      </c>
      <c r="AW40" s="168">
        <f>IF($C40&gt;0,(IF($C40=$AW$7,(-FV(InflationRate,$AW$7,,$D40)),0)),0)</f>
        <v>0</v>
      </c>
      <c r="AX40" s="149">
        <f>IF($C40&gt;0,(IF($AW$7&gt;=$C40+1, (-FV(InflationRate,$AW$7,,$E40)), 0)),0)</f>
        <v>0</v>
      </c>
      <c r="AY40" s="149">
        <f>IF($C40&gt;0,(IF($AW$7&gt;=$C40+1, (-FV(InflationRate,$AW$7,,$F40)), 0)),0)</f>
        <v>0</v>
      </c>
      <c r="AZ40" s="157">
        <f>IF($C40&gt;0,(IF($AW$7&gt;=$C40+1, (-FV(InflationRate,$AW$7,,$G40)), 0)),0)</f>
        <v>0</v>
      </c>
      <c r="BA40" s="160">
        <f>IF($C40&gt;0,(IF($C40=$BA$7,(-FV(InflationRate,$BA$7,,$D40)),0)),0)</f>
        <v>0</v>
      </c>
      <c r="BB40" s="150">
        <f>IF($C40&gt;0,(IF($BA$7&gt;=$C40+1, (-FV(InflationRate,$BA$7,,$E40)), 0)),0)</f>
        <v>0</v>
      </c>
      <c r="BC40" s="150">
        <f>IF($C40&gt;0,(IF($BA$7&gt;=$C40+1, (-FV(InflationRate,$BA$7,,$F40)), 0)),0)</f>
        <v>0</v>
      </c>
      <c r="BD40" s="176">
        <f>IF($C40&gt;0,(IF($BA$7&gt;=$C40+1, (-FV(InflationRate,$BA$7,,$G40)), 0)),0)</f>
        <v>0</v>
      </c>
      <c r="BE40" s="168">
        <f>IF($C40&gt;0,(IF($C40=$BE$7,(-FV(InflationRate,$BE$7,,$D40)),0)),0)</f>
        <v>0</v>
      </c>
      <c r="BF40" s="149">
        <f>IF($C40&gt;0,(IF($BE$7&gt;=$C40+1, (-FV(InflationRate,$BE$7,,$E40)), 0)),0)</f>
        <v>0</v>
      </c>
      <c r="BG40" s="149">
        <f>IF($C40&gt;0,(IF($BE$7&gt;=$C40+1, (-FV(InflationRate,$BE$7,,$F40)), 0)),0)</f>
        <v>0</v>
      </c>
      <c r="BH40" s="171">
        <f>IF($C40&gt;0,(IF($BE$7&gt;=$C40+1, (-FV(InflationRate,$BE$7,,$G40)), 0)),0)</f>
        <v>0</v>
      </c>
      <c r="BI40" s="160">
        <f>IF($C40&gt;0,(IF($C40=$BI$7,(-FV(InflationRate,$BI$7,,$D40)),0)),0)</f>
        <v>0</v>
      </c>
      <c r="BJ40" s="150">
        <f>IF($C40&gt;0,(IF($BI$7&gt;=$C40+1, (-FV(InflationRate,$BI$7,,$E40)), 0)),0)</f>
        <v>0</v>
      </c>
      <c r="BK40" s="150">
        <f>IF($C40&gt;0,(IF($BI$7&gt;=$C40+1, (-FV(InflationRate,$BI$7,,$F40)), 0)),0)</f>
        <v>0</v>
      </c>
      <c r="BL40" s="176">
        <f>IF($C40&gt;0,(IF($BI$7&gt;=$C40+1, (-FV(InflationRate,$BI$7,,$G40)), 0)),0)</f>
        <v>0</v>
      </c>
      <c r="BM40" s="168">
        <f>IF($C40&gt;0,(IF($C40=$BM$7,(-FV(InflationRate,$BM$7,,$D40)),0)),0)</f>
        <v>0</v>
      </c>
      <c r="BN40" s="149">
        <f>IF($C40&gt;0,(IF($BM$7&gt;=$C40+1, (-FV(InflationRate,$BM$7,,$E40)), 0)),0)</f>
        <v>0</v>
      </c>
      <c r="BO40" s="149">
        <f>IF($C40&gt;0,(IF($BM$7&gt;=$C40+1, (-FV(InflationRate,$BM$7,,$F40)), 0)),0)</f>
        <v>0</v>
      </c>
      <c r="BP40" s="157">
        <f>IF($C40&gt;0,(IF($BM$7&gt;=$C40+1, (-FV(InflationRate,$BM$7,,$G40)), 0)),0)</f>
        <v>0</v>
      </c>
      <c r="BQ40" s="160">
        <f>IF($C40&gt;0,(IF($C40=$BQ$7,(-FV(InflationRate,$BQ$7,,$D40)),0)),0)</f>
        <v>0</v>
      </c>
      <c r="BR40" s="150">
        <f>IF($C40&gt;0,(IF($BQ$7&gt;=$C40+1, (-FV(InflationRate,$BQ$7,,$E40)), 0)),0)</f>
        <v>0</v>
      </c>
      <c r="BS40" s="150">
        <f>IF($C40&gt;0,(IF($BQ$7&gt;=$C40+1, (-FV(InflationRate,$BQ$7,,$F40)), 0)),0)</f>
        <v>0</v>
      </c>
      <c r="BT40" s="176">
        <f>IF($C40&gt;0,(IF($BQ$7&gt;=$C40+1, (-FV(InflationRate,$BQ$7,,$G40)), 0)),0)</f>
        <v>0</v>
      </c>
      <c r="BU40" s="168">
        <f>IF($C40&gt;0,(IF($C40=$BU$7,(-FV(InflationRate,$BU$7,,$D40)),0)),0)</f>
        <v>0</v>
      </c>
      <c r="BV40" s="149">
        <f>IF($C40&gt;0,(IF($BU$7&gt;=$C40+1, (-FV(InflationRate,$BU$7,,$E40)), 0)),0)</f>
        <v>0</v>
      </c>
      <c r="BW40" s="149">
        <f>IF($C40&gt;0,(IF($BU$7&gt;=$C40+1, (-FV(InflationRate,$BU$7,,$F40)), 0)),0)</f>
        <v>0</v>
      </c>
      <c r="BX40" s="157">
        <f>IF($C40&gt;0,(IF($BU$7&gt;=$C40+1, (-FV(InflationRate,$BU$7,,$G40)), 0)),0)</f>
        <v>0</v>
      </c>
      <c r="BY40" s="160">
        <f>IF($C40&gt;0,(IF($C40=$BY$7,(-FV(InflationRate,$BY$7,,$D40)),0)),0)</f>
        <v>0</v>
      </c>
      <c r="BZ40" s="150">
        <f>IF($C40&gt;0,(IF($BY$7&gt;=$C40+1, (-FV(InflationRate,$BY$7,,$E40)), 0)),0)</f>
        <v>0</v>
      </c>
      <c r="CA40" s="150">
        <f>IF($C40&gt;0,(IF($BY$7&gt;=$C40+1, (-FV(InflationRate,$BY$7,,$F40)), 0)),0)</f>
        <v>0</v>
      </c>
      <c r="CB40" s="176">
        <f>IF($C40&gt;0,(IF($BY$7&gt;=$C40+1, (-FV(InflationRate,$BY$7,,$G40)), 0)),0)</f>
        <v>0</v>
      </c>
      <c r="CC40" s="168">
        <f>IF($C40&gt;0,(IF($C40=$CC$7,(-FV(InflationRate,$CC$7,,$D40)),0)),0)</f>
        <v>0</v>
      </c>
      <c r="CD40" s="149">
        <f>IF($C40&gt;0,(IF($CC$7&gt;=$C40+1, (-FV(InflationRate,$CC$7,,$E40)), 0)),0)</f>
        <v>0</v>
      </c>
      <c r="CE40" s="149">
        <f>IF($C40&gt;0,(IF($CC$7&gt;=$C40+1, (-FV(InflationRate,$CC$7,,$F40)), 0)),0)</f>
        <v>0</v>
      </c>
      <c r="CF40" s="157">
        <f>IF($C40&gt;0,(IF($CC$7&gt;=$C40+1, (-FV(InflationRate,$CC$7,,$G40)), 0)),0)</f>
        <v>0</v>
      </c>
      <c r="CG40" s="160">
        <f>IF($C40&gt;0,(IF($C40=$CG$7,(-FV(InflationRate,$CG$7,,$D40)),0)),0)</f>
        <v>0</v>
      </c>
      <c r="CH40" s="150">
        <f>IF($C40&gt;0,(IF($CG$7&gt;=$C40+1, (-FV(InflationRate,$CG$7,,$E40)), 0)),0)</f>
        <v>0</v>
      </c>
      <c r="CI40" s="150">
        <f>IF($C40&gt;0,(IF($CG$7&gt;=$C40+1, (-FV(InflationRate,$CG$7,,$F40)), 0)),0)</f>
        <v>0</v>
      </c>
      <c r="CJ40" s="176">
        <f>IF($C40&gt;0,(IF($CG$7&gt;=$C40+1, (-FV(InflationRate,$CG$7,,$G40)), 0)),0)</f>
        <v>0</v>
      </c>
      <c r="CK40" s="168">
        <f>IF($C40&gt;0,(IF($C40=$CK$7,(-FV(InflationRate,$CK$7,,$D40)),0)),0)</f>
        <v>0</v>
      </c>
      <c r="CL40" s="149">
        <f>IF($C40&gt;0,(IF($CK$7&gt;=$C40+1, (-FV(InflationRate,$CK$7,,$E40)), 0)),0)</f>
        <v>0</v>
      </c>
      <c r="CM40" s="149">
        <f>IF($C40&gt;0,(IF($CK$7&gt;=$C40+1, (-FV(InflationRate,$CK$7,,$F40)), 0)),0)</f>
        <v>0</v>
      </c>
      <c r="CN40" s="157">
        <f>IF($C40&gt;0,(IF($CK$7&gt;=$C40+1, (-FV(InflationRate,$CK$7,,$G40)), 0)),0)</f>
        <v>0</v>
      </c>
      <c r="CO40" s="160">
        <f>IF($C40&gt;0,(IF($C40=$CO$7,(-FV(InflationRate,$CO$7,,$D40)),0)),0)</f>
        <v>0</v>
      </c>
      <c r="CP40" s="150">
        <f>IF($C40&gt;0,(IF($CO$7&gt;=$C40+1, (-FV(InflationRate,$CO$7,,$E40)), 0)),0)</f>
        <v>0</v>
      </c>
      <c r="CQ40" s="150">
        <f>IF($C40&gt;0,(IF($CO$7&gt;=$C40+1, (-FV(InflationRate,$CO$7,,$F40)), 0)),0)</f>
        <v>0</v>
      </c>
      <c r="CR40" s="176">
        <f>IF($C40&gt;0,(IF($CO$7&gt;=$C40+1, (-FV(InflationRate,$CO$7,,$G40)), 0)),0)</f>
        <v>0</v>
      </c>
      <c r="CS40" s="168">
        <f>IF($C40&gt;0,(IF($C40=$CS$7,(-FV(InflationRate,$CS$7,,$D40)),0)),0)</f>
        <v>0</v>
      </c>
      <c r="CT40" s="149">
        <f>IF($C40&gt;0,(IF($CS$7&gt;=$C40+1, (-FV(InflationRate,$CS$7,,$E40)), 0)),0)</f>
        <v>0</v>
      </c>
      <c r="CU40" s="149">
        <f>IF($C40&gt;0,(IF($CS$7&gt;=$C40+1, (-FV(InflationRate,$CS$7,,$F40)), 0)),0)</f>
        <v>0</v>
      </c>
      <c r="CV40" s="157">
        <f>IF($C40&gt;0,(IF($CS$7&gt;=$C40+1, (-FV(InflationRate,$CS$7,,$G40)), 0)),0)</f>
        <v>0</v>
      </c>
      <c r="CW40" s="160">
        <f>IF($C40&gt;0,(IF($C40=$CW$7,(-FV(InflationRate,$CW$7,,$D40)),0)),0)</f>
        <v>0</v>
      </c>
      <c r="CX40" s="150">
        <f>IF($C40&gt;0,(IF($CW$7&gt;=$C40+1, (-FV(InflationRate,$CW$7,,$E40)), 0)),0)</f>
        <v>0</v>
      </c>
      <c r="CY40" s="150">
        <f>IF($C40&gt;0,(IF($CW$7&gt;=$C40+1, (-FV(InflationRate,$CW$7,,$F40)), 0)),0)</f>
        <v>0</v>
      </c>
      <c r="CZ40" s="176">
        <f>IF($C40&gt;0,(IF($CW$7&gt;=$C40+1, (-FV(InflationRate,$CW$7,,$G40)), 0)),0)</f>
        <v>0</v>
      </c>
      <c r="DA40" s="168">
        <f>IF($C40&gt;0,(IF($C40=$DA$7,(-FV(InflationRate,$DA$7,,$D40)),0)),0)</f>
        <v>0</v>
      </c>
      <c r="DB40" s="149">
        <f>IF($C40&gt;0,(IF($DA$7&gt;=$C40+1, (-FV(InflationRate,$DA$7,,$E40)), 0)),0)</f>
        <v>0</v>
      </c>
      <c r="DC40" s="149">
        <f>IF($C40&gt;0,(IF($DA$7&gt;=$C40+1, (-FV(InflationRate,$DA$7,,$F40)), 0)),0)</f>
        <v>0</v>
      </c>
      <c r="DD40" s="157">
        <f>IF($C40&gt;0,(IF($DA$7&gt;=$C40+1, (-FV(InflationRate,$DA$7,,$G40)), 0)),0)</f>
        <v>0</v>
      </c>
    </row>
    <row r="41" spans="2:108" ht="12.75" customHeight="1" x14ac:dyDescent="0.2">
      <c r="B41" s="183" t="s">
        <v>270</v>
      </c>
      <c r="C41" s="556">
        <v>14</v>
      </c>
      <c r="D41" s="557">
        <v>4701600</v>
      </c>
      <c r="E41" s="558">
        <v>300000</v>
      </c>
      <c r="F41" s="149"/>
      <c r="G41" s="558">
        <v>0</v>
      </c>
      <c r="H41" s="168">
        <f>SUM(I41:AB41)</f>
        <v>8101120.0488165002</v>
      </c>
      <c r="I41" s="610">
        <f>-PV(InterestRate,I$8,,(SUM(AC41:AF41)))</f>
        <v>0</v>
      </c>
      <c r="J41" s="610">
        <f>-PV(InterestRate,J$8,,(SUM(AG41:AJ41)))</f>
        <v>0</v>
      </c>
      <c r="K41" s="610">
        <f>-PV(InterestRate,K$8,,(SUM(AK41:AN41)))</f>
        <v>0</v>
      </c>
      <c r="L41" s="610">
        <f>-PV(InterestRate,L$8,,(SUM(AO41:AR41)))</f>
        <v>0</v>
      </c>
      <c r="M41" s="610">
        <f>-PV(InterestRate,M$8,,(SUM(AS41:AV41)))</f>
        <v>0</v>
      </c>
      <c r="N41" s="610">
        <f>-PV(InterestRate,N$8,,(SUM(AW41:AZ41)))</f>
        <v>0</v>
      </c>
      <c r="O41" s="610">
        <f>-PV(InterestRate,O$8,,(SUM(BA41:BD41)))</f>
        <v>0</v>
      </c>
      <c r="P41" s="610">
        <f>-PV(InterestRate,P$8,,(SUM(BE41:BH41)))</f>
        <v>0</v>
      </c>
      <c r="Q41" s="610">
        <f>-PV(InterestRate,Q$8,,(SUM(BI41:BL41)))</f>
        <v>0</v>
      </c>
      <c r="R41" s="610">
        <f>-PV(InterestRate,R$8,,(SUM(BM41:BP41)))</f>
        <v>0</v>
      </c>
      <c r="S41" s="610">
        <f>-PV(InterestRate,S$8,,(SUM(BQ41:BT41)))</f>
        <v>0</v>
      </c>
      <c r="T41" s="610">
        <f>-PV(InterestRate,T$8,,(SUM(BU41:BX41)))</f>
        <v>0</v>
      </c>
      <c r="U41" s="610">
        <f>-PV(InterestRate,U$8,,(SUM(BY41:CB41)))</f>
        <v>0</v>
      </c>
      <c r="V41" s="610">
        <f>-PV(InterestRate,V$8,,(SUM(CC41:CF41)))</f>
        <v>5773540.7054872774</v>
      </c>
      <c r="W41" s="610">
        <f>-PV(InterestRate,W$8,,(SUM(CG41:CJ41)))</f>
        <v>373842.77483057213</v>
      </c>
      <c r="X41" s="610">
        <f>-PV(InterestRate,X$8,,(SUM(CK41:CN41)))</f>
        <v>379367.54490195983</v>
      </c>
      <c r="Y41" s="610">
        <f>-PV(InterestRate,Y$8,,(SUM(CO41:CR41)))</f>
        <v>384973.96182169334</v>
      </c>
      <c r="Z41" s="610">
        <f>-PV(InterestRate,Z$8,,(SUM(CS41:CV41)))</f>
        <v>390663.23219344253</v>
      </c>
      <c r="AA41" s="610">
        <f>-PV(InterestRate,AA$8,,(SUM(CW41:CZ41)))</f>
        <v>396436.58045245899</v>
      </c>
      <c r="AB41" s="611">
        <f>-PV(InterestRate,AB$8,,(SUM(DA41:DD41)))</f>
        <v>402295.2491290964</v>
      </c>
      <c r="AC41" s="160">
        <f>IF($C41&gt;0,(IF($C41=$AC$7,$D41,0)),0)</f>
        <v>0</v>
      </c>
      <c r="AD41" s="150">
        <f>IF($C41&gt;0,(IF($AC$7&gt;=$C41+1,$E41,0)),0)</f>
        <v>0</v>
      </c>
      <c r="AE41" s="150">
        <f>IF($C41&gt;0,(IF($C41=$AC$7,$F41,0)),0)</f>
        <v>0</v>
      </c>
      <c r="AF41" s="165">
        <f>IF($C41&gt;0,(IF($AC$7&gt;=$C41+1,$G41,0)),0)</f>
        <v>0</v>
      </c>
      <c r="AG41" s="168">
        <f>IF($C41&gt;0,(IF($C41=$AG$7,(-FV(InflationRate,$AG$7,,$D41)),0)),0)</f>
        <v>0</v>
      </c>
      <c r="AH41" s="149">
        <f>IF($C41&gt;0,(IF($AG$7&gt;=$C41+1, (-FV(InflationRate,$AG$7,,$E41)), 0)),0)</f>
        <v>0</v>
      </c>
      <c r="AI41" s="149">
        <f>IF($C41&gt;0,(IF($AG$7&gt;=$C41+1, (-FV(InflationRate,$AG$7,,$F41)), 0)),0)</f>
        <v>0</v>
      </c>
      <c r="AJ41" s="171">
        <f>IF($C41&gt;0,(IF($AG$7&gt;=$C41+1, (-FV(InflationRate,$AG$7,,$G41)), 0)),0)</f>
        <v>0</v>
      </c>
      <c r="AK41" s="160">
        <f>IF($C41&gt;0,(IF($C41=$AK$7,(-FV(InflationRate,$AK$7,,$D41)),0)),0)</f>
        <v>0</v>
      </c>
      <c r="AL41" s="150">
        <f>IF($C41&gt;0,(IF($AK$7&gt;=$C41+1, (-FV(InflationRate,$AK$7,,$E41)), 0)),0)</f>
        <v>0</v>
      </c>
      <c r="AM41" s="150">
        <f>IF($C41&gt;0,(IF($AK$7&gt;=$C41+1, (-FV(InflationRate,$AK$7,,$F41)), 0)),0)</f>
        <v>0</v>
      </c>
      <c r="AN41" s="165">
        <f>IF($C41&gt;0,(IF($AK$7&gt;=$C41+1, (-FV(InflationRate,$AK$7,,$G41)), 0)),0)</f>
        <v>0</v>
      </c>
      <c r="AO41" s="168">
        <f>IF($C41&gt;0,(IF($C41=$AO$7,(-FV(InflationRate,$AO$7,,$D41)),0)),0)</f>
        <v>0</v>
      </c>
      <c r="AP41" s="149">
        <f>IF($C41&gt;0,(IF($AO$7&gt;=$C41+1, (-FV(InflationRate,$AO$7,,$E41)), 0)),0)</f>
        <v>0</v>
      </c>
      <c r="AQ41" s="149">
        <f>IF($C41&gt;0,(IF($AO$7&gt;=$C41+1, (-FV(InflationRate,$AO$7,,$F41)), 0)),0)</f>
        <v>0</v>
      </c>
      <c r="AR41" s="157">
        <f>IF($C41&gt;0,(IF($AO$7&gt;=$C41+1, (-FV(InflationRate,$AO$7,,$G41)), 0)),0)</f>
        <v>0</v>
      </c>
      <c r="AS41" s="160">
        <f>IF($C41&gt;0,(IF($C41=$AS$7,(-FV(InflationRate,$AS$7,,$D41)),0)),0)</f>
        <v>0</v>
      </c>
      <c r="AT41" s="150">
        <f>IF($C41&gt;0,(IF($AS$7&gt;=$C41+1, (-FV(InflationRate,$AS$7,,$E41)), 0)),0)</f>
        <v>0</v>
      </c>
      <c r="AU41" s="150">
        <f>IF($C41&gt;0,(IF($AS$7&gt;=$C41+1, (-FV(InflationRate,$AS$7,,$F41)), 0)),0)</f>
        <v>0</v>
      </c>
      <c r="AV41" s="165">
        <f>IF($C41&gt;0,(IF($AS$7&gt;=$C41+1, (-FV(InflationRate,$AS$7,,$G41)), 0)),0)</f>
        <v>0</v>
      </c>
      <c r="AW41" s="168">
        <f>IF($C41&gt;0,(IF($C41=$AW$7,(-FV(InflationRate,$AW$7,,$D41)),0)),0)</f>
        <v>0</v>
      </c>
      <c r="AX41" s="149">
        <f>IF($C41&gt;0,(IF($AW$7&gt;=$C41+1, (-FV(InflationRate,$AW$7,,$E41)), 0)),0)</f>
        <v>0</v>
      </c>
      <c r="AY41" s="149">
        <f>IF($C41&gt;0,(IF($AW$7&gt;=$C41+1, (-FV(InflationRate,$AW$7,,$F41)), 0)),0)</f>
        <v>0</v>
      </c>
      <c r="AZ41" s="157">
        <f>IF($C41&gt;0,(IF($AW$7&gt;=$C41+1, (-FV(InflationRate,$AW$7,,$G41)), 0)),0)</f>
        <v>0</v>
      </c>
      <c r="BA41" s="160">
        <f>IF($C41&gt;0,(IF($C41=$BA$7,(-FV(InflationRate,$BA$7,,$D41)),0)),0)</f>
        <v>0</v>
      </c>
      <c r="BB41" s="150">
        <f>IF($C41&gt;0,(IF($BA$7&gt;=$C41+1, (-FV(InflationRate,$BA$7,,$E41)), 0)),0)</f>
        <v>0</v>
      </c>
      <c r="BC41" s="150">
        <f>IF($C41&gt;0,(IF($BA$7&gt;=$C41+1, (-FV(InflationRate,$BA$7,,$F41)), 0)),0)</f>
        <v>0</v>
      </c>
      <c r="BD41" s="176">
        <f>IF($C41&gt;0,(IF($BA$7&gt;=$C41+1, (-FV(InflationRate,$BA$7,,$G41)), 0)),0)</f>
        <v>0</v>
      </c>
      <c r="BE41" s="168">
        <f>IF($C41&gt;0,(IF($C41=$BE$7,(-FV(InflationRate,$BE$7,,$D41)),0)),0)</f>
        <v>0</v>
      </c>
      <c r="BF41" s="149">
        <f>IF($C41&gt;0,(IF($BE$7&gt;=$C41+1, (-FV(InflationRate,$BE$7,,$E41)), 0)),0)</f>
        <v>0</v>
      </c>
      <c r="BG41" s="149">
        <f>IF($C41&gt;0,(IF($BE$7&gt;=$C41+1, (-FV(InflationRate,$BE$7,,$F41)), 0)),0)</f>
        <v>0</v>
      </c>
      <c r="BH41" s="171">
        <f>IF($C41&gt;0,(IF($BE$7&gt;=$C41+1, (-FV(InflationRate,$BE$7,,$G41)), 0)),0)</f>
        <v>0</v>
      </c>
      <c r="BI41" s="160">
        <f>IF($C41&gt;0,(IF($C41=$BI$7,(-FV(InflationRate,$BI$7,,$D41)),0)),0)</f>
        <v>0</v>
      </c>
      <c r="BJ41" s="150">
        <f>IF($C41&gt;0,(IF($BI$7&gt;=$C41+1, (-FV(InflationRate,$BI$7,,$E41)), 0)),0)</f>
        <v>0</v>
      </c>
      <c r="BK41" s="150">
        <f>IF($C41&gt;0,(IF($BI$7&gt;=$C41+1, (-FV(InflationRate,$BI$7,,$F41)), 0)),0)</f>
        <v>0</v>
      </c>
      <c r="BL41" s="176">
        <f>IF($C41&gt;0,(IF($BI$7&gt;=$C41+1, (-FV(InflationRate,$BI$7,,$G41)), 0)),0)</f>
        <v>0</v>
      </c>
      <c r="BM41" s="168">
        <f>IF($C41&gt;0,(IF($C41=$BM$7,(-FV(InflationRate,$BM$7,,$D41)),0)),0)</f>
        <v>0</v>
      </c>
      <c r="BN41" s="149">
        <f>IF($C41&gt;0,(IF($BM$7&gt;=$C41+1, (-FV(InflationRate,$BM$7,,$E41)), 0)),0)</f>
        <v>0</v>
      </c>
      <c r="BO41" s="149">
        <f>IF($C41&gt;0,(IF($BM$7&gt;=$C41+1, (-FV(InflationRate,$BM$7,,$F41)), 0)),0)</f>
        <v>0</v>
      </c>
      <c r="BP41" s="157">
        <f>IF($C41&gt;0,(IF($BM$7&gt;=$C41+1, (-FV(InflationRate,$BM$7,,$G41)), 0)),0)</f>
        <v>0</v>
      </c>
      <c r="BQ41" s="160">
        <f>IF($C41&gt;0,(IF($C41=$BQ$7,(-FV(InflationRate,$BQ$7,,$D41)),0)),0)</f>
        <v>0</v>
      </c>
      <c r="BR41" s="150">
        <f>IF($C41&gt;0,(IF($BQ$7&gt;=$C41+1, (-FV(InflationRate,$BQ$7,,$E41)), 0)),0)</f>
        <v>0</v>
      </c>
      <c r="BS41" s="150">
        <f>IF($C41&gt;0,(IF($BQ$7&gt;=$C41+1, (-FV(InflationRate,$BQ$7,,$F41)), 0)),0)</f>
        <v>0</v>
      </c>
      <c r="BT41" s="176">
        <f>IF($C41&gt;0,(IF($BQ$7&gt;=$C41+1, (-FV(InflationRate,$BQ$7,,$G41)), 0)),0)</f>
        <v>0</v>
      </c>
      <c r="BU41" s="168">
        <f>IF($C41&gt;0,(IF($C41=$BU$7,(-FV(InflationRate,$BU$7,,$D41)),0)),0)</f>
        <v>0</v>
      </c>
      <c r="BV41" s="149">
        <f>IF($C41&gt;0,(IF($BU$7&gt;=$C41+1, (-FV(InflationRate,$BU$7,,$E41)), 0)),0)</f>
        <v>0</v>
      </c>
      <c r="BW41" s="149">
        <f>IF($C41&gt;0,(IF($BU$7&gt;=$C41+1, (-FV(InflationRate,$BU$7,,$F41)), 0)),0)</f>
        <v>0</v>
      </c>
      <c r="BX41" s="157">
        <f>IF($C41&gt;0,(IF($BU$7&gt;=$C41+1, (-FV(InflationRate,$BU$7,,$G41)), 0)),0)</f>
        <v>0</v>
      </c>
      <c r="BY41" s="160">
        <f>IF($C41&gt;0,(IF($C41=$BY$7,(-FV(InflationRate,$BY$7,,$D41)),0)),0)</f>
        <v>0</v>
      </c>
      <c r="BZ41" s="150">
        <f>IF($C41&gt;0,(IF($BY$7&gt;=$C41+1, (-FV(InflationRate,$BY$7,,$E41)), 0)),0)</f>
        <v>0</v>
      </c>
      <c r="CA41" s="150">
        <f>IF($C41&gt;0,(IF($BY$7&gt;=$C41+1, (-FV(InflationRate,$BY$7,,$F41)), 0)),0)</f>
        <v>0</v>
      </c>
      <c r="CB41" s="176">
        <f>IF($C41&gt;0,(IF($BY$7&gt;=$C41+1, (-FV(InflationRate,$BY$7,,$G41)), 0)),0)</f>
        <v>0</v>
      </c>
      <c r="CC41" s="168">
        <f>IF($C41&gt;0,(IF($C41=$CC$7,(-FV(InflationRate,$CC$7,,$D41)),0)),0)</f>
        <v>7111591.8503787899</v>
      </c>
      <c r="CD41" s="149">
        <f>IF($C41&gt;0,(IF($CC$7&gt;=$C41+1, (-FV(InflationRate,$CC$7,,$E41)), 0)),0)</f>
        <v>0</v>
      </c>
      <c r="CE41" s="149">
        <f>IF($C41&gt;0,(IF($CC$7&gt;=$C41+1, (-FV(InflationRate,$CC$7,,$F41)), 0)),0)</f>
        <v>0</v>
      </c>
      <c r="CF41" s="157">
        <f>IF($C41&gt;0,(IF($CC$7&gt;=$C41+1, (-FV(InflationRate,$CC$7,,$G41)), 0)),0)</f>
        <v>0</v>
      </c>
      <c r="CG41" s="160">
        <f>IF($C41&gt;0,(IF($C41=$CG$7,(-FV(InflationRate,$CG$7,,$D41)),0)),0)</f>
        <v>0</v>
      </c>
      <c r="CH41" s="150">
        <f>IF($C41&gt;0,(IF($CG$7&gt;=$C41+1, (-FV(InflationRate,$CG$7,,$E41)), 0)),0)</f>
        <v>467390.22498022934</v>
      </c>
      <c r="CI41" s="150">
        <f>IF($C41&gt;0,(IF($CG$7&gt;=$C41+1, (-FV(InflationRate,$CG$7,,$F41)), 0)),0)</f>
        <v>0</v>
      </c>
      <c r="CJ41" s="176">
        <f>IF($C41&gt;0,(IF($CG$7&gt;=$C41+1, (-FV(InflationRate,$CG$7,,$G41)), 0)),0)</f>
        <v>0</v>
      </c>
      <c r="CK41" s="168">
        <f>IF($C41&gt;0,(IF($C41=$CK$7,(-FV(InflationRate,$CK$7,,$D41)),0)),0)</f>
        <v>0</v>
      </c>
      <c r="CL41" s="149">
        <f>IF($C41&gt;0,(IF($CK$7&gt;=$C41+1, (-FV(InflationRate,$CK$7,,$E41)), 0)),0)</f>
        <v>481411.9317296361</v>
      </c>
      <c r="CM41" s="149">
        <f>IF($C41&gt;0,(IF($CK$7&gt;=$C41+1, (-FV(InflationRate,$CK$7,,$F41)), 0)),0)</f>
        <v>0</v>
      </c>
      <c r="CN41" s="157">
        <f>IF($C41&gt;0,(IF($CK$7&gt;=$C41+1, (-FV(InflationRate,$CK$7,,$G41)), 0)),0)</f>
        <v>0</v>
      </c>
      <c r="CO41" s="160">
        <f>IF($C41&gt;0,(IF($C41=$CO$7,(-FV(InflationRate,$CO$7,,$D41)),0)),0)</f>
        <v>0</v>
      </c>
      <c r="CP41" s="150">
        <f>IF($C41&gt;0,(IF($CO$7&gt;=$C41+1, (-FV(InflationRate,$CO$7,,$E41)), 0)),0)</f>
        <v>495854.2896815252</v>
      </c>
      <c r="CQ41" s="150">
        <f>IF($C41&gt;0,(IF($CO$7&gt;=$C41+1, (-FV(InflationRate,$CO$7,,$F41)), 0)),0)</f>
        <v>0</v>
      </c>
      <c r="CR41" s="176">
        <f>IF($C41&gt;0,(IF($CO$7&gt;=$C41+1, (-FV(InflationRate,$CO$7,,$G41)), 0)),0)</f>
        <v>0</v>
      </c>
      <c r="CS41" s="168">
        <f>IF($C41&gt;0,(IF($C41=$CS$7,(-FV(InflationRate,$CS$7,,$D41)),0)),0)</f>
        <v>0</v>
      </c>
      <c r="CT41" s="149">
        <f>IF($C41&gt;0,(IF($CS$7&gt;=$C41+1, (-FV(InflationRate,$CS$7,,$E41)), 0)),0)</f>
        <v>510729.918371971</v>
      </c>
      <c r="CU41" s="149">
        <f>IF($C41&gt;0,(IF($CS$7&gt;=$C41+1, (-FV(InflationRate,$CS$7,,$F41)), 0)),0)</f>
        <v>0</v>
      </c>
      <c r="CV41" s="157">
        <f>IF($C41&gt;0,(IF($CS$7&gt;=$C41+1, (-FV(InflationRate,$CS$7,,$G41)), 0)),0)</f>
        <v>0</v>
      </c>
      <c r="CW41" s="160">
        <f>IF($C41&gt;0,(IF($C41=$CW$7,(-FV(InflationRate,$CW$7,,$D41)),0)),0)</f>
        <v>0</v>
      </c>
      <c r="CX41" s="150">
        <f>IF($C41&gt;0,(IF($CW$7&gt;=$C41+1, (-FV(InflationRate,$CW$7,,$E41)), 0)),0)</f>
        <v>526051.81592313014</v>
      </c>
      <c r="CY41" s="150">
        <f>IF($C41&gt;0,(IF($CW$7&gt;=$C41+1, (-FV(InflationRate,$CW$7,,$F41)), 0)),0)</f>
        <v>0</v>
      </c>
      <c r="CZ41" s="176">
        <f>IF($C41&gt;0,(IF($CW$7&gt;=$C41+1, (-FV(InflationRate,$CW$7,,$G41)), 0)),0)</f>
        <v>0</v>
      </c>
      <c r="DA41" s="168">
        <f>IF($C41&gt;0,(IF($C41=$DA$7,(-FV(InflationRate,$DA$7,,$D41)),0)),0)</f>
        <v>0</v>
      </c>
      <c r="DB41" s="149">
        <f>IF($C41&gt;0,(IF($DA$7&gt;=$C41+1, (-FV(InflationRate,$DA$7,,$E41)), 0)),0)</f>
        <v>541833.370400824</v>
      </c>
      <c r="DC41" s="149">
        <f>IF($C41&gt;0,(IF($DA$7&gt;=$C41+1, (-FV(InflationRate,$DA$7,,$F41)), 0)),0)</f>
        <v>0</v>
      </c>
      <c r="DD41" s="157">
        <f>IF($C41&gt;0,(IF($DA$7&gt;=$C41+1, (-FV(InflationRate,$DA$7,,$G41)), 0)),0)</f>
        <v>0</v>
      </c>
    </row>
    <row r="42" spans="2:108" ht="12.75" customHeight="1" x14ac:dyDescent="0.2">
      <c r="B42" s="183" t="s">
        <v>203</v>
      </c>
      <c r="C42" s="556">
        <v>14</v>
      </c>
      <c r="D42" s="168"/>
      <c r="E42" s="149"/>
      <c r="F42" s="558">
        <v>75000</v>
      </c>
      <c r="G42" s="149"/>
      <c r="H42" s="168">
        <f>SUM(I42:AB42)</f>
        <v>581894.83583230583</v>
      </c>
      <c r="I42" s="610">
        <f>-PV(InterestRate,I$8,,(SUM(AC42:AF42)))</f>
        <v>0</v>
      </c>
      <c r="J42" s="610">
        <f>-PV(InterestRate,J$8,,(SUM(AG42:AJ42)))</f>
        <v>0</v>
      </c>
      <c r="K42" s="610">
        <f>-PV(InterestRate,K$8,,(SUM(AK42:AN42)))</f>
        <v>0</v>
      </c>
      <c r="L42" s="610">
        <f>-PV(InterestRate,L$8,,(SUM(AO42:AR42)))</f>
        <v>0</v>
      </c>
      <c r="M42" s="610">
        <f>-PV(InterestRate,M$8,,(SUM(AS42:AV42)))</f>
        <v>0</v>
      </c>
      <c r="N42" s="610">
        <f>-PV(InterestRate,N$8,,(SUM(AW42:AZ42)))</f>
        <v>0</v>
      </c>
      <c r="O42" s="610">
        <f>-PV(InterestRate,O$8,,(SUM(BA42:BD42)))</f>
        <v>0</v>
      </c>
      <c r="P42" s="610">
        <f>-PV(InterestRate,P$8,,(SUM(BE42:BH42)))</f>
        <v>0</v>
      </c>
      <c r="Q42" s="610">
        <f>-PV(InterestRate,Q$8,,(SUM(BI42:BL42)))</f>
        <v>0</v>
      </c>
      <c r="R42" s="610">
        <f>-PV(InterestRate,R$8,,(SUM(BM42:BP42)))</f>
        <v>0</v>
      </c>
      <c r="S42" s="610">
        <f>-PV(InterestRate,S$8,,(SUM(BQ42:BT42)))</f>
        <v>0</v>
      </c>
      <c r="T42" s="610">
        <f>-PV(InterestRate,T$8,,(SUM(BU42:BX42)))</f>
        <v>0</v>
      </c>
      <c r="U42" s="610">
        <f>-PV(InterestRate,U$8,,(SUM(BY42:CB42)))</f>
        <v>0</v>
      </c>
      <c r="V42" s="610">
        <f>-PV(InterestRate,V$8,,(SUM(CC42:CF42)))</f>
        <v>0</v>
      </c>
      <c r="W42" s="610">
        <f>-PV(InterestRate,W$8,,(SUM(CG42:CJ42)))</f>
        <v>93460.693707643033</v>
      </c>
      <c r="X42" s="610">
        <f>-PV(InterestRate,X$8,,(SUM(CK42:CN42)))</f>
        <v>94841.886225489958</v>
      </c>
      <c r="Y42" s="610">
        <f>-PV(InterestRate,Y$8,,(SUM(CO42:CR42)))</f>
        <v>96243.490455423336</v>
      </c>
      <c r="Z42" s="610">
        <f>-PV(InterestRate,Z$8,,(SUM(CS42:CV42)))</f>
        <v>97665.808048360632</v>
      </c>
      <c r="AA42" s="610">
        <f>-PV(InterestRate,AA$8,,(SUM(CW42:CZ42)))</f>
        <v>99109.145113114748</v>
      </c>
      <c r="AB42" s="611">
        <f>-PV(InterestRate,AB$8,,(SUM(DA42:DD42)))</f>
        <v>100573.8122822741</v>
      </c>
      <c r="AC42" s="160">
        <f>IF($C42&gt;0,(IF($C42=$AC$7,$D42,0)),0)</f>
        <v>0</v>
      </c>
      <c r="AD42" s="150">
        <f>IF($C42&gt;0,(IF($AC$7&gt;=$C42+1,$E42,0)),0)</f>
        <v>0</v>
      </c>
      <c r="AE42" s="150">
        <f>IF($C42&gt;0,(IF($C42=$AC$7,$F42,0)),0)</f>
        <v>0</v>
      </c>
      <c r="AF42" s="165">
        <f>IF($C42&gt;0,(IF($AC$7&gt;=$C42+1,$G42,0)),0)</f>
        <v>0</v>
      </c>
      <c r="AG42" s="168">
        <f>IF($C42&gt;0,(IF($C42=$AG$7,(-FV(InflationRate,$AG$7,,$D42)),0)),0)</f>
        <v>0</v>
      </c>
      <c r="AH42" s="149">
        <f>IF($C42&gt;0,(IF($AG$7&gt;=$C42+1, (-FV(InflationRate,$AG$7,,$E42)), 0)),0)</f>
        <v>0</v>
      </c>
      <c r="AI42" s="149">
        <f>IF($C42&gt;0,(IF($AG$7&gt;=$C42+1, (-FV(InflationRate,$AG$7,,$F42)), 0)),0)</f>
        <v>0</v>
      </c>
      <c r="AJ42" s="171">
        <f>IF($C42&gt;0,(IF($AG$7&gt;=$C42+1, (-FV(InflationRate,$AG$7,,$G42)), 0)),0)</f>
        <v>0</v>
      </c>
      <c r="AK42" s="160">
        <f>IF($C42&gt;0,(IF($C42=$AK$7,(-FV(InflationRate,$AK$7,,$D42)),0)),0)</f>
        <v>0</v>
      </c>
      <c r="AL42" s="150">
        <f>IF($C42&gt;0,(IF($AK$7&gt;=$C42+1, (-FV(InflationRate,$AK$7,,$E42)), 0)),0)</f>
        <v>0</v>
      </c>
      <c r="AM42" s="150">
        <f>IF($C42&gt;0,(IF($AK$7&gt;=$C42+1, (-FV(InflationRate,$AK$7,,$F42)), 0)),0)</f>
        <v>0</v>
      </c>
      <c r="AN42" s="165">
        <f>IF($C42&gt;0,(IF($AK$7&gt;=$C42+1, (-FV(InflationRate,$AK$7,,$G42)), 0)),0)</f>
        <v>0</v>
      </c>
      <c r="AO42" s="168">
        <f>IF($C42&gt;0,(IF($C42=$AO$7,(-FV(InflationRate,$AO$7,,$D42)),0)),0)</f>
        <v>0</v>
      </c>
      <c r="AP42" s="149">
        <f>IF($C42&gt;0,(IF($AO$7&gt;=$C42+1, (-FV(InflationRate,$AO$7,,$E42)), 0)),0)</f>
        <v>0</v>
      </c>
      <c r="AQ42" s="149">
        <f>IF($C42&gt;0,(IF($AO$7&gt;=$C42+1, (-FV(InflationRate,$AO$7,,$F42)), 0)),0)</f>
        <v>0</v>
      </c>
      <c r="AR42" s="157">
        <f>IF($C42&gt;0,(IF($AO$7&gt;=$C42+1, (-FV(InflationRate,$AO$7,,$G42)), 0)),0)</f>
        <v>0</v>
      </c>
      <c r="AS42" s="160">
        <f>IF($C42&gt;0,(IF($C42=$AS$7,(-FV(InflationRate,$AS$7,,$D42)),0)),0)</f>
        <v>0</v>
      </c>
      <c r="AT42" s="150">
        <f>IF($C42&gt;0,(IF($AS$7&gt;=$C42+1, (-FV(InflationRate,$AS$7,,$E42)), 0)),0)</f>
        <v>0</v>
      </c>
      <c r="AU42" s="150">
        <f>IF($C42&gt;0,(IF($AS$7&gt;=$C42+1, (-FV(InflationRate,$AS$7,,$F42)), 0)),0)</f>
        <v>0</v>
      </c>
      <c r="AV42" s="165">
        <f>IF($C42&gt;0,(IF($AS$7&gt;=$C42+1, (-FV(InflationRate,$AS$7,,$G42)), 0)),0)</f>
        <v>0</v>
      </c>
      <c r="AW42" s="168">
        <f>IF($C42&gt;0,(IF($C42=$AW$7,(-FV(InflationRate,$AW$7,,$D42)),0)),0)</f>
        <v>0</v>
      </c>
      <c r="AX42" s="149">
        <f>IF($C42&gt;0,(IF($AW$7&gt;=$C42+1, (-FV(InflationRate,$AW$7,,$E42)), 0)),0)</f>
        <v>0</v>
      </c>
      <c r="AY42" s="149">
        <f>IF($C42&gt;0,(IF($AW$7&gt;=$C42+1, (-FV(InflationRate,$AW$7,,$F42)), 0)),0)</f>
        <v>0</v>
      </c>
      <c r="AZ42" s="157">
        <f>IF($C42&gt;0,(IF($AW$7&gt;=$C42+1, (-FV(InflationRate,$AW$7,,$G42)), 0)),0)</f>
        <v>0</v>
      </c>
      <c r="BA42" s="160">
        <f>IF($C42&gt;0,(IF($C42=$BA$7,(-FV(InflationRate,$BA$7,,$D42)),0)),0)</f>
        <v>0</v>
      </c>
      <c r="BB42" s="150">
        <f>IF($C42&gt;0,(IF($BA$7&gt;=$C42+1, (-FV(InflationRate,$BA$7,,$E42)), 0)),0)</f>
        <v>0</v>
      </c>
      <c r="BC42" s="150">
        <f>IF($C42&gt;0,(IF($BA$7&gt;=$C42+1, (-FV(InflationRate,$BA$7,,$F42)), 0)),0)</f>
        <v>0</v>
      </c>
      <c r="BD42" s="176">
        <f>IF($C42&gt;0,(IF($BA$7&gt;=$C42+1, (-FV(InflationRate,$BA$7,,$G42)), 0)),0)</f>
        <v>0</v>
      </c>
      <c r="BE42" s="168">
        <f>IF($C42&gt;0,(IF($C42=$BE$7,(-FV(InflationRate,$BE$7,,$D42)),0)),0)</f>
        <v>0</v>
      </c>
      <c r="BF42" s="149">
        <f>IF($C42&gt;0,(IF($BE$7&gt;=$C42+1, (-FV(InflationRate,$BE$7,,$E42)), 0)),0)</f>
        <v>0</v>
      </c>
      <c r="BG42" s="149">
        <f>IF($C42&gt;0,(IF($BE$7&gt;=$C42+1, (-FV(InflationRate,$BE$7,,$F42)), 0)),0)</f>
        <v>0</v>
      </c>
      <c r="BH42" s="171">
        <f>IF($C42&gt;0,(IF($BE$7&gt;=$C42+1, (-FV(InflationRate,$BE$7,,$G42)), 0)),0)</f>
        <v>0</v>
      </c>
      <c r="BI42" s="160">
        <f>IF($C42&gt;0,(IF($C42=$BI$7,(-FV(InflationRate,$BI$7,,$D42)),0)),0)</f>
        <v>0</v>
      </c>
      <c r="BJ42" s="150">
        <f>IF($C42&gt;0,(IF($BI$7&gt;=$C42+1, (-FV(InflationRate,$BI$7,,$E42)), 0)),0)</f>
        <v>0</v>
      </c>
      <c r="BK42" s="150">
        <f>IF($C42&gt;0,(IF($BI$7&gt;=$C42+1, (-FV(InflationRate,$BI$7,,$F42)), 0)),0)</f>
        <v>0</v>
      </c>
      <c r="BL42" s="176">
        <f>IF($C42&gt;0,(IF($BI$7&gt;=$C42+1, (-FV(InflationRate,$BI$7,,$G42)), 0)),0)</f>
        <v>0</v>
      </c>
      <c r="BM42" s="168">
        <f>IF($C42&gt;0,(IF($C42=$BM$7,(-FV(InflationRate,$BM$7,,$D42)),0)),0)</f>
        <v>0</v>
      </c>
      <c r="BN42" s="149">
        <f>IF($C42&gt;0,(IF($BM$7&gt;=$C42+1, (-FV(InflationRate,$BM$7,,$E42)), 0)),0)</f>
        <v>0</v>
      </c>
      <c r="BO42" s="149">
        <f>IF($C42&gt;0,(IF($BM$7&gt;=$C42+1, (-FV(InflationRate,$BM$7,,$F42)), 0)),0)</f>
        <v>0</v>
      </c>
      <c r="BP42" s="157">
        <f>IF($C42&gt;0,(IF($BM$7&gt;=$C42+1, (-FV(InflationRate,$BM$7,,$G42)), 0)),0)</f>
        <v>0</v>
      </c>
      <c r="BQ42" s="160">
        <f>IF($C42&gt;0,(IF($C42=$BQ$7,(-FV(InflationRate,$BQ$7,,$D42)),0)),0)</f>
        <v>0</v>
      </c>
      <c r="BR42" s="150">
        <f>IF($C42&gt;0,(IF($BQ$7&gt;=$C42+1, (-FV(InflationRate,$BQ$7,,$E42)), 0)),0)</f>
        <v>0</v>
      </c>
      <c r="BS42" s="150">
        <f>IF($C42&gt;0,(IF($BQ$7&gt;=$C42+1, (-FV(InflationRate,$BQ$7,,$F42)), 0)),0)</f>
        <v>0</v>
      </c>
      <c r="BT42" s="176">
        <f>IF($C42&gt;0,(IF($BQ$7&gt;=$C42+1, (-FV(InflationRate,$BQ$7,,$G42)), 0)),0)</f>
        <v>0</v>
      </c>
      <c r="BU42" s="168">
        <f>IF($C42&gt;0,(IF($C42=$BU$7,(-FV(InflationRate,$BU$7,,$D42)),0)),0)</f>
        <v>0</v>
      </c>
      <c r="BV42" s="149">
        <f>IF($C42&gt;0,(IF($BU$7&gt;=$C42+1, (-FV(InflationRate,$BU$7,,$E42)), 0)),0)</f>
        <v>0</v>
      </c>
      <c r="BW42" s="149">
        <f>IF($C42&gt;0,(IF($BU$7&gt;=$C42+1, (-FV(InflationRate,$BU$7,,$F42)), 0)),0)</f>
        <v>0</v>
      </c>
      <c r="BX42" s="157">
        <f>IF($C42&gt;0,(IF($BU$7&gt;=$C42+1, (-FV(InflationRate,$BU$7,,$G42)), 0)),0)</f>
        <v>0</v>
      </c>
      <c r="BY42" s="160">
        <f>IF($C42&gt;0,(IF($C42=$BY$7,(-FV(InflationRate,$BY$7,,$D42)),0)),0)</f>
        <v>0</v>
      </c>
      <c r="BZ42" s="150">
        <f>IF($C42&gt;0,(IF($BY$7&gt;=$C42+1, (-FV(InflationRate,$BY$7,,$E42)), 0)),0)</f>
        <v>0</v>
      </c>
      <c r="CA42" s="150">
        <f>IF($C42&gt;0,(IF($BY$7&gt;=$C42+1, (-FV(InflationRate,$BY$7,,$F42)), 0)),0)</f>
        <v>0</v>
      </c>
      <c r="CB42" s="176">
        <f>IF($C42&gt;0,(IF($BY$7&gt;=$C42+1, (-FV(InflationRate,$BY$7,,$G42)), 0)),0)</f>
        <v>0</v>
      </c>
      <c r="CC42" s="168">
        <f>IF($C42&gt;0,(IF($C42=$CC$7,(-FV(InflationRate,$CC$7,,$D42)),0)),0)</f>
        <v>0</v>
      </c>
      <c r="CD42" s="149">
        <f>IF($C42&gt;0,(IF($CC$7&gt;=$C42+1, (-FV(InflationRate,$CC$7,,$E42)), 0)),0)</f>
        <v>0</v>
      </c>
      <c r="CE42" s="149">
        <f>IF($C42&gt;0,(IF($CC$7&gt;=$C42+1, (-FV(InflationRate,$CC$7,,$F42)), 0)),0)</f>
        <v>0</v>
      </c>
      <c r="CF42" s="157">
        <f>IF($C42&gt;0,(IF($CC$7&gt;=$C42+1, (-FV(InflationRate,$CC$7,,$G42)), 0)),0)</f>
        <v>0</v>
      </c>
      <c r="CG42" s="160">
        <f>IF($C42&gt;0,(IF($C42=$CG$7,(-FV(InflationRate,$CG$7,,$D42)),0)),0)</f>
        <v>0</v>
      </c>
      <c r="CH42" s="150">
        <f>IF($C42&gt;0,(IF($CG$7&gt;=$C42+1, (-FV(InflationRate,$CG$7,,$E42)), 0)),0)</f>
        <v>0</v>
      </c>
      <c r="CI42" s="150">
        <f>IF($C42&gt;0,(IF($CG$7&gt;=$C42+1, (-FV(InflationRate,$CG$7,,$F42)), 0)),0)</f>
        <v>116847.55624505733</v>
      </c>
      <c r="CJ42" s="176">
        <f>IF($C42&gt;0,(IF($CG$7&gt;=$C42+1, (-FV(InflationRate,$CG$7,,$G42)), 0)),0)</f>
        <v>0</v>
      </c>
      <c r="CK42" s="168">
        <f>IF($C42&gt;0,(IF($C42=$CK$7,(-FV(InflationRate,$CK$7,,$D42)),0)),0)</f>
        <v>0</v>
      </c>
      <c r="CL42" s="149">
        <f>IF($C42&gt;0,(IF($CK$7&gt;=$C42+1, (-FV(InflationRate,$CK$7,,$E42)), 0)),0)</f>
        <v>0</v>
      </c>
      <c r="CM42" s="149">
        <f>IF($C42&gt;0,(IF($CK$7&gt;=$C42+1, (-FV(InflationRate,$CK$7,,$F42)), 0)),0)</f>
        <v>120352.98293240902</v>
      </c>
      <c r="CN42" s="157">
        <f>IF($C42&gt;0,(IF($CK$7&gt;=$C42+1, (-FV(InflationRate,$CK$7,,$G42)), 0)),0)</f>
        <v>0</v>
      </c>
      <c r="CO42" s="160">
        <f>IF($C42&gt;0,(IF($C42=$CO$7,(-FV(InflationRate,$CO$7,,$D42)),0)),0)</f>
        <v>0</v>
      </c>
      <c r="CP42" s="150">
        <f>IF($C42&gt;0,(IF($CO$7&gt;=$C42+1, (-FV(InflationRate,$CO$7,,$E42)), 0)),0)</f>
        <v>0</v>
      </c>
      <c r="CQ42" s="150">
        <f>IF($C42&gt;0,(IF($CO$7&gt;=$C42+1, (-FV(InflationRate,$CO$7,,$F42)), 0)),0)</f>
        <v>123963.5724203813</v>
      </c>
      <c r="CR42" s="176">
        <f>IF($C42&gt;0,(IF($CO$7&gt;=$C42+1, (-FV(InflationRate,$CO$7,,$G42)), 0)),0)</f>
        <v>0</v>
      </c>
      <c r="CS42" s="168">
        <f>IF($C42&gt;0,(IF($C42=$CS$7,(-FV(InflationRate,$CS$7,,$D42)),0)),0)</f>
        <v>0</v>
      </c>
      <c r="CT42" s="149">
        <f>IF($C42&gt;0,(IF($CS$7&gt;=$C42+1, (-FV(InflationRate,$CS$7,,$E42)), 0)),0)</f>
        <v>0</v>
      </c>
      <c r="CU42" s="149">
        <f>IF($C42&gt;0,(IF($CS$7&gt;=$C42+1, (-FV(InflationRate,$CS$7,,$F42)), 0)),0)</f>
        <v>127682.47959299275</v>
      </c>
      <c r="CV42" s="157">
        <f>IF($C42&gt;0,(IF($CS$7&gt;=$C42+1, (-FV(InflationRate,$CS$7,,$G42)), 0)),0)</f>
        <v>0</v>
      </c>
      <c r="CW42" s="160">
        <f>IF($C42&gt;0,(IF($C42=$CW$7,(-FV(InflationRate,$CW$7,,$D42)),0)),0)</f>
        <v>0</v>
      </c>
      <c r="CX42" s="150">
        <f>IF($C42&gt;0,(IF($CW$7&gt;=$C42+1, (-FV(InflationRate,$CW$7,,$E42)), 0)),0)</f>
        <v>0</v>
      </c>
      <c r="CY42" s="150">
        <f>IF($C42&gt;0,(IF($CW$7&gt;=$C42+1, (-FV(InflationRate,$CW$7,,$F42)), 0)),0)</f>
        <v>131512.95398078253</v>
      </c>
      <c r="CZ42" s="176">
        <f>IF($C42&gt;0,(IF($CW$7&gt;=$C42+1, (-FV(InflationRate,$CW$7,,$G42)), 0)),0)</f>
        <v>0</v>
      </c>
      <c r="DA42" s="168">
        <f>IF($C42&gt;0,(IF($C42=$DA$7,(-FV(InflationRate,$DA$7,,$D42)),0)),0)</f>
        <v>0</v>
      </c>
      <c r="DB42" s="149">
        <f>IF($C42&gt;0,(IF($DA$7&gt;=$C42+1, (-FV(InflationRate,$DA$7,,$E42)), 0)),0)</f>
        <v>0</v>
      </c>
      <c r="DC42" s="149">
        <f>IF($C42&gt;0,(IF($DA$7&gt;=$C42+1, (-FV(InflationRate,$DA$7,,$F42)), 0)),0)</f>
        <v>135458.342600206</v>
      </c>
      <c r="DD42" s="157">
        <f>IF($C42&gt;0,(IF($DA$7&gt;=$C42+1, (-FV(InflationRate,$DA$7,,$G42)), 0)),0)</f>
        <v>0</v>
      </c>
    </row>
    <row r="43" spans="2:108" ht="12.75" hidden="1" customHeight="1" x14ac:dyDescent="0.2">
      <c r="B43" s="182" t="s">
        <v>221</v>
      </c>
      <c r="C43" s="189"/>
      <c r="D43" s="168"/>
      <c r="E43" s="149"/>
      <c r="F43" s="149"/>
      <c r="G43" s="149"/>
      <c r="H43" s="168"/>
      <c r="I43" s="600"/>
      <c r="J43" s="600"/>
      <c r="K43" s="600"/>
      <c r="L43" s="600"/>
      <c r="M43" s="600"/>
      <c r="N43" s="600"/>
      <c r="O43" s="600"/>
      <c r="P43" s="600"/>
      <c r="Q43" s="600"/>
      <c r="R43" s="600"/>
      <c r="S43" s="600"/>
      <c r="T43" s="600"/>
      <c r="U43" s="600"/>
      <c r="V43" s="600"/>
      <c r="W43" s="600"/>
      <c r="X43" s="600"/>
      <c r="Y43" s="600"/>
      <c r="Z43" s="600"/>
      <c r="AA43" s="600"/>
      <c r="AB43" s="601"/>
      <c r="AC43" s="160"/>
      <c r="AD43" s="150"/>
      <c r="AE43" s="150"/>
      <c r="AF43" s="165"/>
      <c r="AG43" s="168"/>
      <c r="AH43" s="149"/>
      <c r="AI43" s="149"/>
      <c r="AJ43" s="171"/>
      <c r="AK43" s="160"/>
      <c r="AL43" s="150"/>
      <c r="AM43" s="150"/>
      <c r="AN43" s="165"/>
      <c r="AO43" s="168"/>
      <c r="AP43" s="149"/>
      <c r="AQ43" s="149"/>
      <c r="AR43" s="157"/>
      <c r="AS43" s="160"/>
      <c r="AT43" s="150"/>
      <c r="AU43" s="150"/>
      <c r="AV43" s="165"/>
      <c r="AW43" s="168"/>
      <c r="AX43" s="149"/>
      <c r="AY43" s="149"/>
      <c r="AZ43" s="157"/>
      <c r="BA43" s="160"/>
      <c r="BB43" s="150"/>
      <c r="BC43" s="150"/>
      <c r="BD43" s="176"/>
      <c r="BE43" s="168"/>
      <c r="BF43" s="149"/>
      <c r="BG43" s="149"/>
      <c r="BH43" s="171"/>
      <c r="BI43" s="160"/>
      <c r="BJ43" s="150"/>
      <c r="BK43" s="150"/>
      <c r="BL43" s="176"/>
      <c r="BM43" s="168"/>
      <c r="BN43" s="149"/>
      <c r="BO43" s="149"/>
      <c r="BP43" s="157"/>
      <c r="BQ43" s="160"/>
      <c r="BR43" s="150"/>
      <c r="BS43" s="150"/>
      <c r="BT43" s="176"/>
      <c r="BU43" s="168"/>
      <c r="BV43" s="149"/>
      <c r="BW43" s="149"/>
      <c r="BX43" s="157"/>
      <c r="BY43" s="160"/>
      <c r="BZ43" s="150"/>
      <c r="CA43" s="150"/>
      <c r="CB43" s="176"/>
      <c r="CC43" s="168"/>
      <c r="CD43" s="149"/>
      <c r="CE43" s="149"/>
      <c r="CF43" s="157"/>
      <c r="CG43" s="160"/>
      <c r="CH43" s="150"/>
      <c r="CI43" s="150"/>
      <c r="CJ43" s="176"/>
      <c r="CK43" s="168"/>
      <c r="CL43" s="149"/>
      <c r="CM43" s="149"/>
      <c r="CN43" s="157"/>
      <c r="CO43" s="160"/>
      <c r="CP43" s="150"/>
      <c r="CQ43" s="150"/>
      <c r="CR43" s="176"/>
      <c r="CS43" s="168"/>
      <c r="CT43" s="149"/>
      <c r="CU43" s="149"/>
      <c r="CV43" s="157"/>
      <c r="CW43" s="160"/>
      <c r="CX43" s="150"/>
      <c r="CY43" s="150"/>
      <c r="CZ43" s="176"/>
      <c r="DA43" s="168"/>
      <c r="DB43" s="149"/>
      <c r="DC43" s="149"/>
      <c r="DD43" s="157"/>
    </row>
    <row r="44" spans="2:108" ht="12.75" hidden="1" customHeight="1" x14ac:dyDescent="0.2">
      <c r="B44" s="183" t="s">
        <v>220</v>
      </c>
      <c r="C44" s="556"/>
      <c r="D44" s="557">
        <v>0</v>
      </c>
      <c r="E44" s="149"/>
      <c r="F44" s="149"/>
      <c r="G44" s="149"/>
      <c r="H44" s="168">
        <f>SUM(I44:AB44)</f>
        <v>0</v>
      </c>
      <c r="I44" s="610">
        <f>-PV(InterestRate,I$8,,(SUM(AC44:AF44)))</f>
        <v>0</v>
      </c>
      <c r="J44" s="610">
        <f>-PV(InterestRate,J$8,,(SUM(AG44:AJ44)))</f>
        <v>0</v>
      </c>
      <c r="K44" s="610">
        <f>-PV(InterestRate,K$8,,(SUM(AK44:AN44)))</f>
        <v>0</v>
      </c>
      <c r="L44" s="610">
        <f>-PV(InterestRate,L$8,,(SUM(AO44:AR44)))</f>
        <v>0</v>
      </c>
      <c r="M44" s="610">
        <f>-PV(InterestRate,M$8,,(SUM(AS44:AV44)))</f>
        <v>0</v>
      </c>
      <c r="N44" s="610">
        <f>-PV(InterestRate,N$8,,(SUM(AW44:AZ44)))</f>
        <v>0</v>
      </c>
      <c r="O44" s="610">
        <f>-PV(InterestRate,O$8,,(SUM(BA44:BD44)))</f>
        <v>0</v>
      </c>
      <c r="P44" s="610">
        <f>-PV(InterestRate,P$8,,(SUM(BE44:BH44)))</f>
        <v>0</v>
      </c>
      <c r="Q44" s="610">
        <f>-PV(InterestRate,Q$8,,(SUM(BI44:BL44)))</f>
        <v>0</v>
      </c>
      <c r="R44" s="610">
        <f>-PV(InterestRate,R$8,,(SUM(BM44:BP44)))</f>
        <v>0</v>
      </c>
      <c r="S44" s="610">
        <f>-PV(InterestRate,S$8,,(SUM(BQ44:BT44)))</f>
        <v>0</v>
      </c>
      <c r="T44" s="610">
        <f>-PV(InterestRate,T$8,,(SUM(BU44:BX44)))</f>
        <v>0</v>
      </c>
      <c r="U44" s="610">
        <f>-PV(InterestRate,U$8,,(SUM(BY44:CB44)))</f>
        <v>0</v>
      </c>
      <c r="V44" s="610">
        <f>-PV(InterestRate,V$8,,(SUM(CC44:CF44)))</f>
        <v>0</v>
      </c>
      <c r="W44" s="610">
        <f>-PV(InterestRate,W$8,,(SUM(CG44:CJ44)))</f>
        <v>0</v>
      </c>
      <c r="X44" s="610">
        <f>-PV(InterestRate,X$8,,(SUM(CK44:CN44)))</f>
        <v>0</v>
      </c>
      <c r="Y44" s="610">
        <f>-PV(InterestRate,Y$8,,(SUM(CO44:CR44)))</f>
        <v>0</v>
      </c>
      <c r="Z44" s="610">
        <f>-PV(InterestRate,Z$8,,(SUM(CS44:CV44)))</f>
        <v>0</v>
      </c>
      <c r="AA44" s="610">
        <f>-PV(InterestRate,AA$8,,(SUM(CW44:CZ44)))</f>
        <v>0</v>
      </c>
      <c r="AB44" s="611">
        <f>-PV(InterestRate,AB$8,,(SUM(DA44:DD44)))</f>
        <v>0</v>
      </c>
      <c r="AC44" s="160">
        <f>IF($C44&gt;0,(IF($C44=$AC$7,$D44,0)),0)</f>
        <v>0</v>
      </c>
      <c r="AD44" s="150">
        <f>IF($C44&gt;0,(IF($AC$7&gt;=$C44+1,$E44,0)),0)</f>
        <v>0</v>
      </c>
      <c r="AE44" s="150">
        <f>IF($C44&gt;0,(IF($C44=$AC$7,$F44,0)),0)</f>
        <v>0</v>
      </c>
      <c r="AF44" s="165">
        <f>IF($C44&gt;0,(IF($AC$7&gt;=$C44+1,$G44,0)),0)</f>
        <v>0</v>
      </c>
      <c r="AG44" s="168">
        <f>IF($C44&gt;0,(IF($C44=$AG$7,(-FV(InflationRate,$AG$7,,$D44)),0)),0)</f>
        <v>0</v>
      </c>
      <c r="AH44" s="149">
        <f>IF($C44&gt;0,(IF($AG$7&gt;=$C44+1, (-FV(InflationRate,$AG$7,,$E44)), 0)),0)</f>
        <v>0</v>
      </c>
      <c r="AI44" s="149">
        <f>IF($C44&gt;0,(IF($AG$7&gt;=$C44+1, (-FV(InflationRate,$AG$7,,$F44)), 0)),0)</f>
        <v>0</v>
      </c>
      <c r="AJ44" s="171">
        <f>IF($C44&gt;0,(IF($AG$7&gt;=$C44+1, (-FV(InflationRate,$AG$7,,$G44)), 0)),0)</f>
        <v>0</v>
      </c>
      <c r="AK44" s="160">
        <f>IF($C44&gt;0,(IF($C44=$AK$7,(-FV(InflationRate,$AK$7,,$D44)),0)),0)</f>
        <v>0</v>
      </c>
      <c r="AL44" s="150">
        <f>IF($C44&gt;0,(IF($AK$7&gt;=$C44+1, (-FV(InflationRate,$AK$7,,$E44)), 0)),0)</f>
        <v>0</v>
      </c>
      <c r="AM44" s="150">
        <f>IF($C44&gt;0,(IF($AK$7&gt;=$C44+1, (-FV(InflationRate,$AK$7,,$F44)), 0)),0)</f>
        <v>0</v>
      </c>
      <c r="AN44" s="165">
        <f>IF($C44&gt;0,(IF($AK$7&gt;=$C44+1, (-FV(InflationRate,$AK$7,,$G44)), 0)),0)</f>
        <v>0</v>
      </c>
      <c r="AO44" s="168">
        <f>IF($C44&gt;0,(IF($C44=$AO$7,(-FV(InflationRate,$AO$7,,$D44)),0)),0)</f>
        <v>0</v>
      </c>
      <c r="AP44" s="149">
        <f>IF($C44&gt;0,(IF($AO$7&gt;=$C44+1, (-FV(InflationRate,$AO$7,,$E44)), 0)),0)</f>
        <v>0</v>
      </c>
      <c r="AQ44" s="149">
        <f>IF($C44&gt;0,(IF($AO$7&gt;=$C44+1, (-FV(InflationRate,$AO$7,,$F44)), 0)),0)</f>
        <v>0</v>
      </c>
      <c r="AR44" s="157">
        <f>IF($C44&gt;0,(IF($AO$7&gt;=$C44+1, (-FV(InflationRate,$AO$7,,$G44)), 0)),0)</f>
        <v>0</v>
      </c>
      <c r="AS44" s="160">
        <f>IF($C44&gt;0,(IF($C44=$AS$7,(-FV(InflationRate,$AS$7,,$D44)),0)),0)</f>
        <v>0</v>
      </c>
      <c r="AT44" s="150">
        <f>IF($C44&gt;0,(IF($AS$7&gt;=$C44+1, (-FV(InflationRate,$AS$7,,$E44)), 0)),0)</f>
        <v>0</v>
      </c>
      <c r="AU44" s="150">
        <f>IF($C44&gt;0,(IF($AS$7&gt;=$C44+1, (-FV(InflationRate,$AS$7,,$F44)), 0)),0)</f>
        <v>0</v>
      </c>
      <c r="AV44" s="165">
        <f>IF($C44&gt;0,(IF($AS$7&gt;=$C44+1, (-FV(InflationRate,$AS$7,,$G44)), 0)),0)</f>
        <v>0</v>
      </c>
      <c r="AW44" s="168">
        <f>IF($C44&gt;0,(IF($C44=$AW$7,(-FV(InflationRate,$AW$7,,$D44)),0)),0)</f>
        <v>0</v>
      </c>
      <c r="AX44" s="149">
        <f>IF($C44&gt;0,(IF($AW$7&gt;=$C44+1, (-FV(InflationRate,$AW$7,,$E44)), 0)),0)</f>
        <v>0</v>
      </c>
      <c r="AY44" s="149">
        <f>IF($C44&gt;0,(IF($AW$7&gt;=$C44+1, (-FV(InflationRate,$AW$7,,$F44)), 0)),0)</f>
        <v>0</v>
      </c>
      <c r="AZ44" s="157">
        <f>IF($C44&gt;0,(IF($AW$7&gt;=$C44+1, (-FV(InflationRate,$AW$7,,$G44)), 0)),0)</f>
        <v>0</v>
      </c>
      <c r="BA44" s="160">
        <f>IF($C44&gt;0,(IF($C44=$BA$7,(-FV(InflationRate,$BA$7,,$D44)),0)),0)</f>
        <v>0</v>
      </c>
      <c r="BB44" s="150">
        <f>IF($C44&gt;0,(IF($BA$7&gt;=$C44+1, (-FV(InflationRate,$BA$7,,$E44)), 0)),0)</f>
        <v>0</v>
      </c>
      <c r="BC44" s="150">
        <f>IF($C44&gt;0,(IF($BA$7&gt;=$C44+1, (-FV(InflationRate,$BA$7,,$F44)), 0)),0)</f>
        <v>0</v>
      </c>
      <c r="BD44" s="176">
        <f>IF($C44&gt;0,(IF($BA$7&gt;=$C44+1, (-FV(InflationRate,$BA$7,,$G44)), 0)),0)</f>
        <v>0</v>
      </c>
      <c r="BE44" s="168">
        <f>IF($C44&gt;0,(IF($C44=$BE$7,(-FV(InflationRate,$BE$7,,$D44)),0)),0)</f>
        <v>0</v>
      </c>
      <c r="BF44" s="149">
        <f>IF($C44&gt;0,(IF($BE$7&gt;=$C44+1, (-FV(InflationRate,$BE$7,,$E44)), 0)),0)</f>
        <v>0</v>
      </c>
      <c r="BG44" s="149">
        <f>IF($C44&gt;0,(IF($BE$7&gt;=$C44+1, (-FV(InflationRate,$BE$7,,$F44)), 0)),0)</f>
        <v>0</v>
      </c>
      <c r="BH44" s="171">
        <f>IF($C44&gt;0,(IF($BE$7&gt;=$C44+1, (-FV(InflationRate,$BE$7,,$G44)), 0)),0)</f>
        <v>0</v>
      </c>
      <c r="BI44" s="160">
        <f>IF($C44&gt;0,(IF($C44=$BI$7,(-FV(InflationRate,$BI$7,,$D44)),0)),0)</f>
        <v>0</v>
      </c>
      <c r="BJ44" s="150">
        <f>IF($C44&gt;0,(IF($BI$7&gt;=$C44+1, (-FV(InflationRate,$BI$7,,$E44)), 0)),0)</f>
        <v>0</v>
      </c>
      <c r="BK44" s="150">
        <f>IF($C44&gt;0,(IF($BI$7&gt;=$C44+1, (-FV(InflationRate,$BI$7,,$F44)), 0)),0)</f>
        <v>0</v>
      </c>
      <c r="BL44" s="176">
        <f>IF($C44&gt;0,(IF($BI$7&gt;=$C44+1, (-FV(InflationRate,$BI$7,,$G44)), 0)),0)</f>
        <v>0</v>
      </c>
      <c r="BM44" s="168">
        <f>IF($C44&gt;0,(IF($C44=$BM$7,(-FV(InflationRate,$BM$7,,$D44)),0)),0)</f>
        <v>0</v>
      </c>
      <c r="BN44" s="149">
        <f>IF($C44&gt;0,(IF($BM$7&gt;=$C44+1, (-FV(InflationRate,$BM$7,,$E44)), 0)),0)</f>
        <v>0</v>
      </c>
      <c r="BO44" s="149">
        <f>IF($C44&gt;0,(IF($BM$7&gt;=$C44+1, (-FV(InflationRate,$BM$7,,$F44)), 0)),0)</f>
        <v>0</v>
      </c>
      <c r="BP44" s="157">
        <f>IF($C44&gt;0,(IF($BM$7&gt;=$C44+1, (-FV(InflationRate,$BM$7,,$G44)), 0)),0)</f>
        <v>0</v>
      </c>
      <c r="BQ44" s="160">
        <f>IF($C44&gt;0,(IF($C44=$BQ$7,(-FV(InflationRate,$BQ$7,,$D44)),0)),0)</f>
        <v>0</v>
      </c>
      <c r="BR44" s="150">
        <f>IF($C44&gt;0,(IF($BQ$7&gt;=$C44+1, (-FV(InflationRate,$BQ$7,,$E44)), 0)),0)</f>
        <v>0</v>
      </c>
      <c r="BS44" s="150">
        <f>IF($C44&gt;0,(IF($BQ$7&gt;=$C44+1, (-FV(InflationRate,$BQ$7,,$F44)), 0)),0)</f>
        <v>0</v>
      </c>
      <c r="BT44" s="176">
        <f>IF($C44&gt;0,(IF($BQ$7&gt;=$C44+1, (-FV(InflationRate,$BQ$7,,$G44)), 0)),0)</f>
        <v>0</v>
      </c>
      <c r="BU44" s="168">
        <f>IF($C44&gt;0,(IF($C44=$BU$7,(-FV(InflationRate,$BU$7,,$D44)),0)),0)</f>
        <v>0</v>
      </c>
      <c r="BV44" s="149">
        <f>IF($C44&gt;0,(IF($BU$7&gt;=$C44+1, (-FV(InflationRate,$BU$7,,$E44)), 0)),0)</f>
        <v>0</v>
      </c>
      <c r="BW44" s="149">
        <f>IF($C44&gt;0,(IF($BU$7&gt;=$C44+1, (-FV(InflationRate,$BU$7,,$F44)), 0)),0)</f>
        <v>0</v>
      </c>
      <c r="BX44" s="157">
        <f>IF($C44&gt;0,(IF($BU$7&gt;=$C44+1, (-FV(InflationRate,$BU$7,,$G44)), 0)),0)</f>
        <v>0</v>
      </c>
      <c r="BY44" s="160">
        <f>IF($C44&gt;0,(IF($C44=$BY$7,(-FV(InflationRate,$BY$7,,$D44)),0)),0)</f>
        <v>0</v>
      </c>
      <c r="BZ44" s="150">
        <f>IF($C44&gt;0,(IF($BY$7&gt;=$C44+1, (-FV(InflationRate,$BY$7,,$E44)), 0)),0)</f>
        <v>0</v>
      </c>
      <c r="CA44" s="150">
        <f>IF($C44&gt;0,(IF($BY$7&gt;=$C44+1, (-FV(InflationRate,$BY$7,,$F44)), 0)),0)</f>
        <v>0</v>
      </c>
      <c r="CB44" s="176">
        <f>IF($C44&gt;0,(IF($BY$7&gt;=$C44+1, (-FV(InflationRate,$BY$7,,$G44)), 0)),0)</f>
        <v>0</v>
      </c>
      <c r="CC44" s="168">
        <f>IF($C44&gt;0,(IF($C44=$CC$7,(-FV(InflationRate,$CC$7,,$D44)),0)),0)</f>
        <v>0</v>
      </c>
      <c r="CD44" s="149">
        <f>IF($C44&gt;0,(IF($CC$7&gt;=$C44+1, (-FV(InflationRate,$CC$7,,$E44)), 0)),0)</f>
        <v>0</v>
      </c>
      <c r="CE44" s="149">
        <f>IF($C44&gt;0,(IF($CC$7&gt;=$C44+1, (-FV(InflationRate,$CC$7,,$F44)), 0)),0)</f>
        <v>0</v>
      </c>
      <c r="CF44" s="157">
        <f>IF($C44&gt;0,(IF($CC$7&gt;=$C44+1, (-FV(InflationRate,$CC$7,,$G44)), 0)),0)</f>
        <v>0</v>
      </c>
      <c r="CG44" s="160">
        <f>IF($C44&gt;0,(IF($C44=$CG$7,(-FV(InflationRate,$CG$7,,$D44)),0)),0)</f>
        <v>0</v>
      </c>
      <c r="CH44" s="150">
        <f>IF($C44&gt;0,(IF($CG$7&gt;=$C44+1, (-FV(InflationRate,$CG$7,,$E44)), 0)),0)</f>
        <v>0</v>
      </c>
      <c r="CI44" s="150">
        <f>IF($C44&gt;0,(IF($CG$7&gt;=$C44+1, (-FV(InflationRate,$CG$7,,$F44)), 0)),0)</f>
        <v>0</v>
      </c>
      <c r="CJ44" s="176">
        <f>IF($C44&gt;0,(IF($CG$7&gt;=$C44+1, (-FV(InflationRate,$CG$7,,$G44)), 0)),0)</f>
        <v>0</v>
      </c>
      <c r="CK44" s="168">
        <f>IF($C44&gt;0,(IF($C44=$CK$7,(-FV(InflationRate,$CK$7,,$D44)),0)),0)</f>
        <v>0</v>
      </c>
      <c r="CL44" s="149">
        <f>IF($C44&gt;0,(IF($CK$7&gt;=$C44+1, (-FV(InflationRate,$CK$7,,$E44)), 0)),0)</f>
        <v>0</v>
      </c>
      <c r="CM44" s="149">
        <f>IF($C44&gt;0,(IF($CK$7&gt;=$C44+1, (-FV(InflationRate,$CK$7,,$F44)), 0)),0)</f>
        <v>0</v>
      </c>
      <c r="CN44" s="157">
        <f>IF($C44&gt;0,(IF($CK$7&gt;=$C44+1, (-FV(InflationRate,$CK$7,,$G44)), 0)),0)</f>
        <v>0</v>
      </c>
      <c r="CO44" s="160">
        <f>IF($C44&gt;0,(IF($C44=$CO$7,(-FV(InflationRate,$CO$7,,$D44)),0)),0)</f>
        <v>0</v>
      </c>
      <c r="CP44" s="150">
        <f>IF($C44&gt;0,(IF($CO$7&gt;=$C44+1, (-FV(InflationRate,$CO$7,,$E44)), 0)),0)</f>
        <v>0</v>
      </c>
      <c r="CQ44" s="150">
        <f>IF($C44&gt;0,(IF($CO$7&gt;=$C44+1, (-FV(InflationRate,$CO$7,,$F44)), 0)),0)</f>
        <v>0</v>
      </c>
      <c r="CR44" s="176">
        <f>IF($C44&gt;0,(IF($CO$7&gt;=$C44+1, (-FV(InflationRate,$CO$7,,$G44)), 0)),0)</f>
        <v>0</v>
      </c>
      <c r="CS44" s="168">
        <f>IF($C44&gt;0,(IF($C44=$CS$7,(-FV(InflationRate,$CS$7,,$D44)),0)),0)</f>
        <v>0</v>
      </c>
      <c r="CT44" s="149">
        <f>IF($C44&gt;0,(IF($CS$7&gt;=$C44+1, (-FV(InflationRate,$CS$7,,$E44)), 0)),0)</f>
        <v>0</v>
      </c>
      <c r="CU44" s="149">
        <f>IF($C44&gt;0,(IF($CS$7&gt;=$C44+1, (-FV(InflationRate,$CS$7,,$F44)), 0)),0)</f>
        <v>0</v>
      </c>
      <c r="CV44" s="157">
        <f>IF($C44&gt;0,(IF($CS$7&gt;=$C44+1, (-FV(InflationRate,$CS$7,,$G44)), 0)),0)</f>
        <v>0</v>
      </c>
      <c r="CW44" s="160">
        <f>IF($C44&gt;0,(IF($C44=$CW$7,(-FV(InflationRate,$CW$7,,$D44)),0)),0)</f>
        <v>0</v>
      </c>
      <c r="CX44" s="150">
        <f>IF($C44&gt;0,(IF($CW$7&gt;=$C44+1, (-FV(InflationRate,$CW$7,,$E44)), 0)),0)</f>
        <v>0</v>
      </c>
      <c r="CY44" s="150">
        <f>IF($C44&gt;0,(IF($CW$7&gt;=$C44+1, (-FV(InflationRate,$CW$7,,$F44)), 0)),0)</f>
        <v>0</v>
      </c>
      <c r="CZ44" s="176">
        <f>IF($C44&gt;0,(IF($CW$7&gt;=$C44+1, (-FV(InflationRate,$CW$7,,$G44)), 0)),0)</f>
        <v>0</v>
      </c>
      <c r="DA44" s="168">
        <f>IF($C44&gt;0,(IF($C44=$DA$7,(-FV(InflationRate,$DA$7,,$D44)),0)),0)</f>
        <v>0</v>
      </c>
      <c r="DB44" s="149">
        <f>IF($C44&gt;0,(IF($DA$7&gt;=$C44+1, (-FV(InflationRate,$DA$7,,$E44)), 0)),0)</f>
        <v>0</v>
      </c>
      <c r="DC44" s="149">
        <f>IF($C44&gt;0,(IF($DA$7&gt;=$C44+1, (-FV(InflationRate,$DA$7,,$F44)), 0)),0)</f>
        <v>0</v>
      </c>
      <c r="DD44" s="157">
        <f>IF($C44&gt;0,(IF($DA$7&gt;=$C44+1, (-FV(InflationRate,$DA$7,,$G44)), 0)),0)</f>
        <v>0</v>
      </c>
    </row>
    <row r="45" spans="2:108" ht="12.75" hidden="1" customHeight="1" x14ac:dyDescent="0.2">
      <c r="B45" s="183" t="s">
        <v>270</v>
      </c>
      <c r="C45" s="556"/>
      <c r="D45" s="168">
        <f>D30-D32-D33-D36-D37-D40-D41-D44</f>
        <v>0</v>
      </c>
      <c r="E45" s="149">
        <f>E30-E33-E37-E41</f>
        <v>0</v>
      </c>
      <c r="F45" s="149"/>
      <c r="G45" s="149">
        <f>G30-G33-G37-G41</f>
        <v>0</v>
      </c>
      <c r="H45" s="168">
        <f>SUM(I45:AB45)</f>
        <v>0</v>
      </c>
      <c r="I45" s="610">
        <f>-PV(InterestRate,I$8,,(SUM(AC45:AF45)))</f>
        <v>0</v>
      </c>
      <c r="J45" s="610">
        <f>-PV(InterestRate,J$8,,(SUM(AG45:AJ45)))</f>
        <v>0</v>
      </c>
      <c r="K45" s="610">
        <f>-PV(InterestRate,K$8,,(SUM(AK45:AN45)))</f>
        <v>0</v>
      </c>
      <c r="L45" s="610">
        <f>-PV(InterestRate,L$8,,(SUM(AO45:AR45)))</f>
        <v>0</v>
      </c>
      <c r="M45" s="610">
        <f>-PV(InterestRate,M$8,,(SUM(AS45:AV45)))</f>
        <v>0</v>
      </c>
      <c r="N45" s="610">
        <f>-PV(InterestRate,N$8,,(SUM(AW45:AZ45)))</f>
        <v>0</v>
      </c>
      <c r="O45" s="610">
        <f>-PV(InterestRate,O$8,,(SUM(BA45:BD45)))</f>
        <v>0</v>
      </c>
      <c r="P45" s="610">
        <f>-PV(InterestRate,P$8,,(SUM(BE45:BH45)))</f>
        <v>0</v>
      </c>
      <c r="Q45" s="610">
        <f>-PV(InterestRate,Q$8,,(SUM(BI45:BL45)))</f>
        <v>0</v>
      </c>
      <c r="R45" s="610">
        <f>-PV(InterestRate,R$8,,(SUM(BM45:BP45)))</f>
        <v>0</v>
      </c>
      <c r="S45" s="610">
        <f>-PV(InterestRate,S$8,,(SUM(BQ45:BT45)))</f>
        <v>0</v>
      </c>
      <c r="T45" s="610">
        <f>-PV(InterestRate,T$8,,(SUM(BU45:BX45)))</f>
        <v>0</v>
      </c>
      <c r="U45" s="610">
        <f>-PV(InterestRate,U$8,,(SUM(BY45:CB45)))</f>
        <v>0</v>
      </c>
      <c r="V45" s="610">
        <f>-PV(InterestRate,V$8,,(SUM(CC45:CF45)))</f>
        <v>0</v>
      </c>
      <c r="W45" s="610">
        <f>-PV(InterestRate,W$8,,(SUM(CG45:CJ45)))</f>
        <v>0</v>
      </c>
      <c r="X45" s="610">
        <f>-PV(InterestRate,X$8,,(SUM(CK45:CN45)))</f>
        <v>0</v>
      </c>
      <c r="Y45" s="610">
        <f>-PV(InterestRate,Y$8,,(SUM(CO45:CR45)))</f>
        <v>0</v>
      </c>
      <c r="Z45" s="610">
        <f>-PV(InterestRate,Z$8,,(SUM(CS45:CV45)))</f>
        <v>0</v>
      </c>
      <c r="AA45" s="610">
        <f>-PV(InterestRate,AA$8,,(SUM(CW45:CZ45)))</f>
        <v>0</v>
      </c>
      <c r="AB45" s="611">
        <f>-PV(InterestRate,AB$8,,(SUM(DA45:DD45)))</f>
        <v>0</v>
      </c>
      <c r="AC45" s="160">
        <f>IF($C45&gt;0,(IF($C45=$AC$7,$D45,0)),0)</f>
        <v>0</v>
      </c>
      <c r="AD45" s="150">
        <f>IF($C45&gt;0,(IF($AC$7&gt;=$C45+1,$E45,0)),0)</f>
        <v>0</v>
      </c>
      <c r="AE45" s="150">
        <f>IF($C45&gt;0,(IF($C45=$AC$7,$F45,0)),0)</f>
        <v>0</v>
      </c>
      <c r="AF45" s="165">
        <f>IF($C45&gt;0,(IF($AC$7&gt;=$C45+1,$G45,0)),0)</f>
        <v>0</v>
      </c>
      <c r="AG45" s="168">
        <f>IF($C45&gt;0,(IF($C45=$AG$7,(-FV(InflationRate,$AG$7,,$D45)),0)),0)</f>
        <v>0</v>
      </c>
      <c r="AH45" s="149">
        <f>IF($C45&gt;0,(IF($AG$7&gt;=$C45+1, (-FV(InflationRate,$AG$7,,$E45)), 0)),0)</f>
        <v>0</v>
      </c>
      <c r="AI45" s="149">
        <f>IF($C45&gt;0,(IF($AG$7&gt;=$C45+1, (-FV(InflationRate,$AG$7,,$F45)), 0)),0)</f>
        <v>0</v>
      </c>
      <c r="AJ45" s="171">
        <f>IF($C45&gt;0,(IF($AG$7&gt;=$C45+1, (-FV(InflationRate,$AG$7,,$G45)), 0)),0)</f>
        <v>0</v>
      </c>
      <c r="AK45" s="160">
        <f>IF($C45&gt;0,(IF($C45=$AK$7,(-FV(InflationRate,$AK$7,,$D45)),0)),0)</f>
        <v>0</v>
      </c>
      <c r="AL45" s="150">
        <f>IF($C45&gt;0,(IF($AK$7&gt;=$C45+1, (-FV(InflationRate,$AK$7,,$E45)), 0)),0)</f>
        <v>0</v>
      </c>
      <c r="AM45" s="150">
        <f>IF($C45&gt;0,(IF($AK$7&gt;=$C45+1, (-FV(InflationRate,$AK$7,,$F45)), 0)),0)</f>
        <v>0</v>
      </c>
      <c r="AN45" s="165">
        <f>IF($C45&gt;0,(IF($AK$7&gt;=$C45+1, (-FV(InflationRate,$AK$7,,$G45)), 0)),0)</f>
        <v>0</v>
      </c>
      <c r="AO45" s="168">
        <f>IF($C45&gt;0,(IF($C45=$AO$7,(-FV(InflationRate,$AO$7,,$D45)),0)),0)</f>
        <v>0</v>
      </c>
      <c r="AP45" s="149">
        <f>IF($C45&gt;0,(IF($AO$7&gt;=$C45+1, (-FV(InflationRate,$AO$7,,$E45)), 0)),0)</f>
        <v>0</v>
      </c>
      <c r="AQ45" s="149">
        <f>IF($C45&gt;0,(IF($AO$7&gt;=$C45+1, (-FV(InflationRate,$AO$7,,$F45)), 0)),0)</f>
        <v>0</v>
      </c>
      <c r="AR45" s="157">
        <f>IF($C45&gt;0,(IF($AO$7&gt;=$C45+1, (-FV(InflationRate,$AO$7,,$G45)), 0)),0)</f>
        <v>0</v>
      </c>
      <c r="AS45" s="160">
        <f>IF($C45&gt;0,(IF($C45=$AS$7,(-FV(InflationRate,$AS$7,,$D45)),0)),0)</f>
        <v>0</v>
      </c>
      <c r="AT45" s="150">
        <f>IF($C45&gt;0,(IF($AS$7&gt;=$C45+1, (-FV(InflationRate,$AS$7,,$E45)), 0)),0)</f>
        <v>0</v>
      </c>
      <c r="AU45" s="150">
        <f>IF($C45&gt;0,(IF($AS$7&gt;=$C45+1, (-FV(InflationRate,$AS$7,,$F45)), 0)),0)</f>
        <v>0</v>
      </c>
      <c r="AV45" s="165">
        <f>IF($C45&gt;0,(IF($AS$7&gt;=$C45+1, (-FV(InflationRate,$AS$7,,$G45)), 0)),0)</f>
        <v>0</v>
      </c>
      <c r="AW45" s="168">
        <f>IF($C45&gt;0,(IF($C45=$AW$7,(-FV(InflationRate,$AW$7,,$D45)),0)),0)</f>
        <v>0</v>
      </c>
      <c r="AX45" s="149">
        <f>IF($C45&gt;0,(IF($AW$7&gt;=$C45+1, (-FV(InflationRate,$AW$7,,$E45)), 0)),0)</f>
        <v>0</v>
      </c>
      <c r="AY45" s="149">
        <f>IF($C45&gt;0,(IF($AW$7&gt;=$C45+1, (-FV(InflationRate,$AW$7,,$F45)), 0)),0)</f>
        <v>0</v>
      </c>
      <c r="AZ45" s="157">
        <f>IF($C45&gt;0,(IF($AW$7&gt;=$C45+1, (-FV(InflationRate,$AW$7,,$G45)), 0)),0)</f>
        <v>0</v>
      </c>
      <c r="BA45" s="160">
        <f>IF($C45&gt;0,(IF($C45=$BA$7,(-FV(InflationRate,$BA$7,,$D45)),0)),0)</f>
        <v>0</v>
      </c>
      <c r="BB45" s="150">
        <f>IF($C45&gt;0,(IF($BA$7&gt;=$C45+1, (-FV(InflationRate,$BA$7,,$E45)), 0)),0)</f>
        <v>0</v>
      </c>
      <c r="BC45" s="150">
        <f>IF($C45&gt;0,(IF($BA$7&gt;=$C45+1, (-FV(InflationRate,$BA$7,,$F45)), 0)),0)</f>
        <v>0</v>
      </c>
      <c r="BD45" s="176">
        <f>IF($C45&gt;0,(IF($BA$7&gt;=$C45+1, (-FV(InflationRate,$BA$7,,$G45)), 0)),0)</f>
        <v>0</v>
      </c>
      <c r="BE45" s="168">
        <f>IF($C45&gt;0,(IF($C45=$BE$7,(-FV(InflationRate,$BE$7,,$D45)),0)),0)</f>
        <v>0</v>
      </c>
      <c r="BF45" s="149">
        <f>IF($C45&gt;0,(IF($BE$7&gt;=$C45+1, (-FV(InflationRate,$BE$7,,$E45)), 0)),0)</f>
        <v>0</v>
      </c>
      <c r="BG45" s="149">
        <f>IF($C45&gt;0,(IF($BE$7&gt;=$C45+1, (-FV(InflationRate,$BE$7,,$F45)), 0)),0)</f>
        <v>0</v>
      </c>
      <c r="BH45" s="171">
        <f>IF($C45&gt;0,(IF($BE$7&gt;=$C45+1, (-FV(InflationRate,$BE$7,,$G45)), 0)),0)</f>
        <v>0</v>
      </c>
      <c r="BI45" s="160">
        <f>IF($C45&gt;0,(IF($C45=$BI$7,(-FV(InflationRate,$BI$7,,$D45)),0)),0)</f>
        <v>0</v>
      </c>
      <c r="BJ45" s="150">
        <f>IF($C45&gt;0,(IF($BI$7&gt;=$C45+1, (-FV(InflationRate,$BI$7,,$E45)), 0)),0)</f>
        <v>0</v>
      </c>
      <c r="BK45" s="150">
        <f>IF($C45&gt;0,(IF($BI$7&gt;=$C45+1, (-FV(InflationRate,$BI$7,,$F45)), 0)),0)</f>
        <v>0</v>
      </c>
      <c r="BL45" s="176">
        <f>IF($C45&gt;0,(IF($BI$7&gt;=$C45+1, (-FV(InflationRate,$BI$7,,$G45)), 0)),0)</f>
        <v>0</v>
      </c>
      <c r="BM45" s="168">
        <f>IF($C45&gt;0,(IF($C45=$BM$7,(-FV(InflationRate,$BM$7,,$D45)),0)),0)</f>
        <v>0</v>
      </c>
      <c r="BN45" s="149">
        <f>IF($C45&gt;0,(IF($BM$7&gt;=$C45+1, (-FV(InflationRate,$BM$7,,$E45)), 0)),0)</f>
        <v>0</v>
      </c>
      <c r="BO45" s="149">
        <f>IF($C45&gt;0,(IF($BM$7&gt;=$C45+1, (-FV(InflationRate,$BM$7,,$F45)), 0)),0)</f>
        <v>0</v>
      </c>
      <c r="BP45" s="157">
        <f>IF($C45&gt;0,(IF($BM$7&gt;=$C45+1, (-FV(InflationRate,$BM$7,,$G45)), 0)),0)</f>
        <v>0</v>
      </c>
      <c r="BQ45" s="160">
        <f>IF($C45&gt;0,(IF($C45=$BQ$7,(-FV(InflationRate,$BQ$7,,$D45)),0)),0)</f>
        <v>0</v>
      </c>
      <c r="BR45" s="150">
        <f>IF($C45&gt;0,(IF($BQ$7&gt;=$C45+1, (-FV(InflationRate,$BQ$7,,$E45)), 0)),0)</f>
        <v>0</v>
      </c>
      <c r="BS45" s="150">
        <f>IF($C45&gt;0,(IF($BQ$7&gt;=$C45+1, (-FV(InflationRate,$BQ$7,,$F45)), 0)),0)</f>
        <v>0</v>
      </c>
      <c r="BT45" s="176">
        <f>IF($C45&gt;0,(IF($BQ$7&gt;=$C45+1, (-FV(InflationRate,$BQ$7,,$G45)), 0)),0)</f>
        <v>0</v>
      </c>
      <c r="BU45" s="168">
        <f>IF($C45&gt;0,(IF($C45=$BU$7,(-FV(InflationRate,$BU$7,,$D45)),0)),0)</f>
        <v>0</v>
      </c>
      <c r="BV45" s="149">
        <f>IF($C45&gt;0,(IF($BU$7&gt;=$C45+1, (-FV(InflationRate,$BU$7,,$E45)), 0)),0)</f>
        <v>0</v>
      </c>
      <c r="BW45" s="149">
        <f>IF($C45&gt;0,(IF($BU$7&gt;=$C45+1, (-FV(InflationRate,$BU$7,,$F45)), 0)),0)</f>
        <v>0</v>
      </c>
      <c r="BX45" s="157">
        <f>IF($C45&gt;0,(IF($BU$7&gt;=$C45+1, (-FV(InflationRate,$BU$7,,$G45)), 0)),0)</f>
        <v>0</v>
      </c>
      <c r="BY45" s="160">
        <f>IF($C45&gt;0,(IF($C45=$BY$7,(-FV(InflationRate,$BY$7,,$D45)),0)),0)</f>
        <v>0</v>
      </c>
      <c r="BZ45" s="150">
        <f>IF($C45&gt;0,(IF($BY$7&gt;=$C45+1, (-FV(InflationRate,$BY$7,,$E45)), 0)),0)</f>
        <v>0</v>
      </c>
      <c r="CA45" s="150">
        <f>IF($C45&gt;0,(IF($BY$7&gt;=$C45+1, (-FV(InflationRate,$BY$7,,$F45)), 0)),0)</f>
        <v>0</v>
      </c>
      <c r="CB45" s="176">
        <f>IF($C45&gt;0,(IF($BY$7&gt;=$C45+1, (-FV(InflationRate,$BY$7,,$G45)), 0)),0)</f>
        <v>0</v>
      </c>
      <c r="CC45" s="168">
        <f>IF($C45&gt;0,(IF($C45=$CC$7,(-FV(InflationRate,$CC$7,,$D45)),0)),0)</f>
        <v>0</v>
      </c>
      <c r="CD45" s="149">
        <f>IF($C45&gt;0,(IF($CC$7&gt;=$C45+1, (-FV(InflationRate,$CC$7,,$E45)), 0)),0)</f>
        <v>0</v>
      </c>
      <c r="CE45" s="149">
        <f>IF($C45&gt;0,(IF($CC$7&gt;=$C45+1, (-FV(InflationRate,$CC$7,,$F45)), 0)),0)</f>
        <v>0</v>
      </c>
      <c r="CF45" s="157">
        <f>IF($C45&gt;0,(IF($CC$7&gt;=$C45+1, (-FV(InflationRate,$CC$7,,$G45)), 0)),0)</f>
        <v>0</v>
      </c>
      <c r="CG45" s="160">
        <f>IF($C45&gt;0,(IF($C45=$CG$7,(-FV(InflationRate,$CG$7,,$D45)),0)),0)</f>
        <v>0</v>
      </c>
      <c r="CH45" s="150">
        <f>IF($C45&gt;0,(IF($CG$7&gt;=$C45+1, (-FV(InflationRate,$CG$7,,$E45)), 0)),0)</f>
        <v>0</v>
      </c>
      <c r="CI45" s="150">
        <f>IF($C45&gt;0,(IF($CG$7&gt;=$C45+1, (-FV(InflationRate,$CG$7,,$F45)), 0)),0)</f>
        <v>0</v>
      </c>
      <c r="CJ45" s="176">
        <f>IF($C45&gt;0,(IF($CG$7&gt;=$C45+1, (-FV(InflationRate,$CG$7,,$G45)), 0)),0)</f>
        <v>0</v>
      </c>
      <c r="CK45" s="168">
        <f>IF($C45&gt;0,(IF($C45=$CK$7,(-FV(InflationRate,$CK$7,,$D45)),0)),0)</f>
        <v>0</v>
      </c>
      <c r="CL45" s="149">
        <f>IF($C45&gt;0,(IF($CK$7&gt;=$C45+1, (-FV(InflationRate,$CK$7,,$E45)), 0)),0)</f>
        <v>0</v>
      </c>
      <c r="CM45" s="149">
        <f>IF($C45&gt;0,(IF($CK$7&gt;=$C45+1, (-FV(InflationRate,$CK$7,,$F45)), 0)),0)</f>
        <v>0</v>
      </c>
      <c r="CN45" s="157">
        <f>IF($C45&gt;0,(IF($CK$7&gt;=$C45+1, (-FV(InflationRate,$CK$7,,$G45)), 0)),0)</f>
        <v>0</v>
      </c>
      <c r="CO45" s="160">
        <f>IF($C45&gt;0,(IF($C45=$CO$7,(-FV(InflationRate,$CO$7,,$D45)),0)),0)</f>
        <v>0</v>
      </c>
      <c r="CP45" s="150">
        <f>IF($C45&gt;0,(IF($CO$7&gt;=$C45+1, (-FV(InflationRate,$CO$7,,$E45)), 0)),0)</f>
        <v>0</v>
      </c>
      <c r="CQ45" s="150">
        <f>IF($C45&gt;0,(IF($CO$7&gt;=$C45+1, (-FV(InflationRate,$CO$7,,$F45)), 0)),0)</f>
        <v>0</v>
      </c>
      <c r="CR45" s="176">
        <f>IF($C45&gt;0,(IF($CO$7&gt;=$C45+1, (-FV(InflationRate,$CO$7,,$G45)), 0)),0)</f>
        <v>0</v>
      </c>
      <c r="CS45" s="168">
        <f>IF($C45&gt;0,(IF($C45=$CS$7,(-FV(InflationRate,$CS$7,,$D45)),0)),0)</f>
        <v>0</v>
      </c>
      <c r="CT45" s="149">
        <f>IF($C45&gt;0,(IF($CS$7&gt;=$C45+1, (-FV(InflationRate,$CS$7,,$E45)), 0)),0)</f>
        <v>0</v>
      </c>
      <c r="CU45" s="149">
        <f>IF($C45&gt;0,(IF($CS$7&gt;=$C45+1, (-FV(InflationRate,$CS$7,,$F45)), 0)),0)</f>
        <v>0</v>
      </c>
      <c r="CV45" s="157">
        <f>IF($C45&gt;0,(IF($CS$7&gt;=$C45+1, (-FV(InflationRate,$CS$7,,$G45)), 0)),0)</f>
        <v>0</v>
      </c>
      <c r="CW45" s="160">
        <f>IF($C45&gt;0,(IF($C45=$CW$7,(-FV(InflationRate,$CW$7,,$D45)),0)),0)</f>
        <v>0</v>
      </c>
      <c r="CX45" s="150">
        <f>IF($C45&gt;0,(IF($CW$7&gt;=$C45+1, (-FV(InflationRate,$CW$7,,$E45)), 0)),0)</f>
        <v>0</v>
      </c>
      <c r="CY45" s="150">
        <f>IF($C45&gt;0,(IF($CW$7&gt;=$C45+1, (-FV(InflationRate,$CW$7,,$F45)), 0)),0)</f>
        <v>0</v>
      </c>
      <c r="CZ45" s="176">
        <f>IF($C45&gt;0,(IF($CW$7&gt;=$C45+1, (-FV(InflationRate,$CW$7,,$G45)), 0)),0)</f>
        <v>0</v>
      </c>
      <c r="DA45" s="168">
        <f>IF($C45&gt;0,(IF($C45=$DA$7,(-FV(InflationRate,$DA$7,,$D45)),0)),0)</f>
        <v>0</v>
      </c>
      <c r="DB45" s="149">
        <f>IF($C45&gt;0,(IF($DA$7&gt;=$C45+1, (-FV(InflationRate,$DA$7,,$E45)), 0)),0)</f>
        <v>0</v>
      </c>
      <c r="DC45" s="149">
        <f>IF($C45&gt;0,(IF($DA$7&gt;=$C45+1, (-FV(InflationRate,$DA$7,,$F45)), 0)),0)</f>
        <v>0</v>
      </c>
      <c r="DD45" s="157">
        <f>IF($C45&gt;0,(IF($DA$7&gt;=$C45+1, (-FV(InflationRate,$DA$7,,$G45)), 0)),0)</f>
        <v>0</v>
      </c>
    </row>
    <row r="46" spans="2:108" ht="12.75" hidden="1" customHeight="1" x14ac:dyDescent="0.2">
      <c r="B46" s="183" t="s">
        <v>203</v>
      </c>
      <c r="C46" s="556"/>
      <c r="D46" s="168"/>
      <c r="E46" s="149"/>
      <c r="F46" s="149">
        <f>F30-F34-F38-F42</f>
        <v>0</v>
      </c>
      <c r="G46" s="149"/>
      <c r="H46" s="168">
        <f>SUM(I46:AB46)</f>
        <v>0</v>
      </c>
      <c r="I46" s="610">
        <f>-PV(InterestRate,I$8,,(SUM(AC46:AF46)))</f>
        <v>0</v>
      </c>
      <c r="J46" s="610">
        <f>-PV(InterestRate,J$8,,(SUM(AG46:AJ46)))</f>
        <v>0</v>
      </c>
      <c r="K46" s="610">
        <f>-PV(InterestRate,K$8,,(SUM(AK46:AN46)))</f>
        <v>0</v>
      </c>
      <c r="L46" s="610">
        <f>-PV(InterestRate,L$8,,(SUM(AO46:AR46)))</f>
        <v>0</v>
      </c>
      <c r="M46" s="610">
        <f>-PV(InterestRate,M$8,,(SUM(AS46:AV46)))</f>
        <v>0</v>
      </c>
      <c r="N46" s="610">
        <f>-PV(InterestRate,N$8,,(SUM(AW46:AZ46)))</f>
        <v>0</v>
      </c>
      <c r="O46" s="610">
        <f>-PV(InterestRate,O$8,,(SUM(BA46:BD46)))</f>
        <v>0</v>
      </c>
      <c r="P46" s="610">
        <f>-PV(InterestRate,P$8,,(SUM(BE46:BH46)))</f>
        <v>0</v>
      </c>
      <c r="Q46" s="610">
        <f>-PV(InterestRate,Q$8,,(SUM(BI46:BL46)))</f>
        <v>0</v>
      </c>
      <c r="R46" s="610">
        <f>-PV(InterestRate,R$8,,(SUM(BM46:BP46)))</f>
        <v>0</v>
      </c>
      <c r="S46" s="610">
        <f>-PV(InterestRate,S$8,,(SUM(BQ46:BT46)))</f>
        <v>0</v>
      </c>
      <c r="T46" s="610">
        <f>-PV(InterestRate,T$8,,(SUM(BU46:BX46)))</f>
        <v>0</v>
      </c>
      <c r="U46" s="610">
        <f>-PV(InterestRate,U$8,,(SUM(BY46:CB46)))</f>
        <v>0</v>
      </c>
      <c r="V46" s="610">
        <f>-PV(InterestRate,V$8,,(SUM(CC46:CF46)))</f>
        <v>0</v>
      </c>
      <c r="W46" s="610">
        <f>-PV(InterestRate,W$8,,(SUM(CG46:CJ46)))</f>
        <v>0</v>
      </c>
      <c r="X46" s="610">
        <f>-PV(InterestRate,X$8,,(SUM(CK46:CN46)))</f>
        <v>0</v>
      </c>
      <c r="Y46" s="610">
        <f>-PV(InterestRate,Y$8,,(SUM(CO46:CR46)))</f>
        <v>0</v>
      </c>
      <c r="Z46" s="610">
        <f>-PV(InterestRate,Z$8,,(SUM(CS46:CV46)))</f>
        <v>0</v>
      </c>
      <c r="AA46" s="610">
        <f>-PV(InterestRate,AA$8,,(SUM(CW46:CZ46)))</f>
        <v>0</v>
      </c>
      <c r="AB46" s="611">
        <f>-PV(InterestRate,AB$8,,(SUM(DA46:DD46)))</f>
        <v>0</v>
      </c>
      <c r="AC46" s="160">
        <f>IF($C46&gt;0,(IF($C46=$AC$7,$D46,0)),0)</f>
        <v>0</v>
      </c>
      <c r="AD46" s="150">
        <f>IF($C46&gt;0,(IF($AC$7&gt;=$C46+1,$E46,0)),0)</f>
        <v>0</v>
      </c>
      <c r="AE46" s="150">
        <f>IF($C46&gt;0,(IF($C46=$AC$7,$F46,0)),0)</f>
        <v>0</v>
      </c>
      <c r="AF46" s="165">
        <f>IF($C46&gt;0,(IF($AC$7&gt;=$C46+1,$G46,0)),0)</f>
        <v>0</v>
      </c>
      <c r="AG46" s="168">
        <f>IF($C46&gt;0,(IF($C46=$AG$7,(-FV(InflationRate,$AG$7,,$D46)),0)),0)</f>
        <v>0</v>
      </c>
      <c r="AH46" s="149">
        <f>IF($C46&gt;0,(IF($AG$7&gt;=$C46+1, (-FV(InflationRate,$AG$7,,$E46)), 0)),0)</f>
        <v>0</v>
      </c>
      <c r="AI46" s="149">
        <f>IF($C46&gt;0,(IF($AG$7&gt;=$C46+1, (-FV(InflationRate,$AG$7,,$F46)), 0)),0)</f>
        <v>0</v>
      </c>
      <c r="AJ46" s="171">
        <f>IF($C46&gt;0,(IF($AG$7&gt;=$C46+1, (-FV(InflationRate,$AG$7,,$G46)), 0)),0)</f>
        <v>0</v>
      </c>
      <c r="AK46" s="160">
        <f>IF($C46&gt;0,(IF($C46=$AK$7,(-FV(InflationRate,$AK$7,,$D46)),0)),0)</f>
        <v>0</v>
      </c>
      <c r="AL46" s="150">
        <f>IF($C46&gt;0,(IF($AK$7&gt;=$C46+1, (-FV(InflationRate,$AK$7,,$E46)), 0)),0)</f>
        <v>0</v>
      </c>
      <c r="AM46" s="150">
        <f>IF($C46&gt;0,(IF($AK$7&gt;=$C46+1, (-FV(InflationRate,$AK$7,,$F46)), 0)),0)</f>
        <v>0</v>
      </c>
      <c r="AN46" s="165">
        <f>IF($C46&gt;0,(IF($AK$7&gt;=$C46+1, (-FV(InflationRate,$AK$7,,$G46)), 0)),0)</f>
        <v>0</v>
      </c>
      <c r="AO46" s="168">
        <f>IF($C46&gt;0,(IF($C46=$AO$7,(-FV(InflationRate,$AO$7,,$D46)),0)),0)</f>
        <v>0</v>
      </c>
      <c r="AP46" s="149">
        <f>IF($C46&gt;0,(IF($AO$7&gt;=$C46+1, (-FV(InflationRate,$AO$7,,$E46)), 0)),0)</f>
        <v>0</v>
      </c>
      <c r="AQ46" s="149">
        <f>IF($C46&gt;0,(IF($AO$7&gt;=$C46+1, (-FV(InflationRate,$AO$7,,$F46)), 0)),0)</f>
        <v>0</v>
      </c>
      <c r="AR46" s="157">
        <f>IF($C46&gt;0,(IF($AO$7&gt;=$C46+1, (-FV(InflationRate,$AO$7,,$G46)), 0)),0)</f>
        <v>0</v>
      </c>
      <c r="AS46" s="160">
        <f>IF($C46&gt;0,(IF($C46=$AS$7,(-FV(InflationRate,$AS$7,,$D46)),0)),0)</f>
        <v>0</v>
      </c>
      <c r="AT46" s="150">
        <f>IF($C46&gt;0,(IF($AS$7&gt;=$C46+1, (-FV(InflationRate,$AS$7,,$E46)), 0)),0)</f>
        <v>0</v>
      </c>
      <c r="AU46" s="150">
        <f>IF($C46&gt;0,(IF($AS$7&gt;=$C46+1, (-FV(InflationRate,$AS$7,,$F46)), 0)),0)</f>
        <v>0</v>
      </c>
      <c r="AV46" s="165">
        <f>IF($C46&gt;0,(IF($AS$7&gt;=$C46+1, (-FV(InflationRate,$AS$7,,$G46)), 0)),0)</f>
        <v>0</v>
      </c>
      <c r="AW46" s="168">
        <f>IF($C46&gt;0,(IF($C46=$AW$7,(-FV(InflationRate,$AW$7,,$D46)),0)),0)</f>
        <v>0</v>
      </c>
      <c r="AX46" s="149">
        <f>IF($C46&gt;0,(IF($AW$7&gt;=$C46+1, (-FV(InflationRate,$AW$7,,$E46)), 0)),0)</f>
        <v>0</v>
      </c>
      <c r="AY46" s="149">
        <f>IF($C46&gt;0,(IF($AW$7&gt;=$C46+1, (-FV(InflationRate,$AW$7,,$F46)), 0)),0)</f>
        <v>0</v>
      </c>
      <c r="AZ46" s="157">
        <f>IF($C46&gt;0,(IF($AW$7&gt;=$C46+1, (-FV(InflationRate,$AW$7,,$G46)), 0)),0)</f>
        <v>0</v>
      </c>
      <c r="BA46" s="160">
        <f>IF($C46&gt;0,(IF($C46=$BA$7,(-FV(InflationRate,$BA$7,,$D46)),0)),0)</f>
        <v>0</v>
      </c>
      <c r="BB46" s="150">
        <f>IF($C46&gt;0,(IF($BA$7&gt;=$C46+1, (-FV(InflationRate,$BA$7,,$E46)), 0)),0)</f>
        <v>0</v>
      </c>
      <c r="BC46" s="150">
        <f>IF($C46&gt;0,(IF($BA$7&gt;=$C46+1, (-FV(InflationRate,$BA$7,,$F46)), 0)),0)</f>
        <v>0</v>
      </c>
      <c r="BD46" s="176">
        <f>IF($C46&gt;0,(IF($BA$7&gt;=$C46+1, (-FV(InflationRate,$BA$7,,$G46)), 0)),0)</f>
        <v>0</v>
      </c>
      <c r="BE46" s="168">
        <f>IF($C46&gt;0,(IF($C46=$BE$7,(-FV(InflationRate,$BE$7,,$D46)),0)),0)</f>
        <v>0</v>
      </c>
      <c r="BF46" s="149">
        <f>IF($C46&gt;0,(IF($BE$7&gt;=$C46+1, (-FV(InflationRate,$BE$7,,$E46)), 0)),0)</f>
        <v>0</v>
      </c>
      <c r="BG46" s="149">
        <f>IF($C46&gt;0,(IF($BE$7&gt;=$C46+1, (-FV(InflationRate,$BE$7,,$F46)), 0)),0)</f>
        <v>0</v>
      </c>
      <c r="BH46" s="171">
        <f>IF($C46&gt;0,(IF($BE$7&gt;=$C46+1, (-FV(InflationRate,$BE$7,,$G46)), 0)),0)</f>
        <v>0</v>
      </c>
      <c r="BI46" s="160">
        <f>IF($C46&gt;0,(IF($C46=$BI$7,(-FV(InflationRate,$BI$7,,$D46)),0)),0)</f>
        <v>0</v>
      </c>
      <c r="BJ46" s="150">
        <f>IF($C46&gt;0,(IF($BI$7&gt;=$C46+1, (-FV(InflationRate,$BI$7,,$E46)), 0)),0)</f>
        <v>0</v>
      </c>
      <c r="BK46" s="150">
        <f>IF($C46&gt;0,(IF($BI$7&gt;=$C46+1, (-FV(InflationRate,$BI$7,,$F46)), 0)),0)</f>
        <v>0</v>
      </c>
      <c r="BL46" s="176">
        <f>IF($C46&gt;0,(IF($BI$7&gt;=$C46+1, (-FV(InflationRate,$BI$7,,$G46)), 0)),0)</f>
        <v>0</v>
      </c>
      <c r="BM46" s="168">
        <f>IF($C46&gt;0,(IF($C46=$BM$7,(-FV(InflationRate,$BM$7,,$D46)),0)),0)</f>
        <v>0</v>
      </c>
      <c r="BN46" s="149">
        <f>IF($C46&gt;0,(IF($BM$7&gt;=$C46+1, (-FV(InflationRate,$BM$7,,$E46)), 0)),0)</f>
        <v>0</v>
      </c>
      <c r="BO46" s="149">
        <f>IF($C46&gt;0,(IF($BM$7&gt;=$C46+1, (-FV(InflationRate,$BM$7,,$F46)), 0)),0)</f>
        <v>0</v>
      </c>
      <c r="BP46" s="157">
        <f>IF($C46&gt;0,(IF($BM$7&gt;=$C46+1, (-FV(InflationRate,$BM$7,,$G46)), 0)),0)</f>
        <v>0</v>
      </c>
      <c r="BQ46" s="160">
        <f>IF($C46&gt;0,(IF($C46=$BQ$7,(-FV(InflationRate,$BQ$7,,$D46)),0)),0)</f>
        <v>0</v>
      </c>
      <c r="BR46" s="150">
        <f>IF($C46&gt;0,(IF($BQ$7&gt;=$C46+1, (-FV(InflationRate,$BQ$7,,$E46)), 0)),0)</f>
        <v>0</v>
      </c>
      <c r="BS46" s="150">
        <f>IF($C46&gt;0,(IF($BQ$7&gt;=$C46+1, (-FV(InflationRate,$BQ$7,,$F46)), 0)),0)</f>
        <v>0</v>
      </c>
      <c r="BT46" s="176">
        <f>IF($C46&gt;0,(IF($BQ$7&gt;=$C46+1, (-FV(InflationRate,$BQ$7,,$G46)), 0)),0)</f>
        <v>0</v>
      </c>
      <c r="BU46" s="168">
        <f>IF($C46&gt;0,(IF($C46=$BU$7,(-FV(InflationRate,$BU$7,,$D46)),0)),0)</f>
        <v>0</v>
      </c>
      <c r="BV46" s="149">
        <f>IF($C46&gt;0,(IF($BU$7&gt;=$C46+1, (-FV(InflationRate,$BU$7,,$E46)), 0)),0)</f>
        <v>0</v>
      </c>
      <c r="BW46" s="149">
        <f>IF($C46&gt;0,(IF($BU$7&gt;=$C46+1, (-FV(InflationRate,$BU$7,,$F46)), 0)),0)</f>
        <v>0</v>
      </c>
      <c r="BX46" s="157">
        <f>IF($C46&gt;0,(IF($BU$7&gt;=$C46+1, (-FV(InflationRate,$BU$7,,$G46)), 0)),0)</f>
        <v>0</v>
      </c>
      <c r="BY46" s="160">
        <f>IF($C46&gt;0,(IF($C46=$BY$7,(-FV(InflationRate,$BY$7,,$D46)),0)),0)</f>
        <v>0</v>
      </c>
      <c r="BZ46" s="150">
        <f>IF($C46&gt;0,(IF($BY$7&gt;=$C46+1, (-FV(InflationRate,$BY$7,,$E46)), 0)),0)</f>
        <v>0</v>
      </c>
      <c r="CA46" s="150">
        <f>IF($C46&gt;0,(IF($BY$7&gt;=$C46+1, (-FV(InflationRate,$BY$7,,$F46)), 0)),0)</f>
        <v>0</v>
      </c>
      <c r="CB46" s="176">
        <f>IF($C46&gt;0,(IF($BY$7&gt;=$C46+1, (-FV(InflationRate,$BY$7,,$G46)), 0)),0)</f>
        <v>0</v>
      </c>
      <c r="CC46" s="168">
        <f>IF($C46&gt;0,(IF($C46=$CC$7,(-FV(InflationRate,$CC$7,,$D46)),0)),0)</f>
        <v>0</v>
      </c>
      <c r="CD46" s="149">
        <f>IF($C46&gt;0,(IF($CC$7&gt;=$C46+1, (-FV(InflationRate,$CC$7,,$E46)), 0)),0)</f>
        <v>0</v>
      </c>
      <c r="CE46" s="149">
        <f>IF($C46&gt;0,(IF($CC$7&gt;=$C46+1, (-FV(InflationRate,$CC$7,,$F46)), 0)),0)</f>
        <v>0</v>
      </c>
      <c r="CF46" s="157">
        <f>IF($C46&gt;0,(IF($CC$7&gt;=$C46+1, (-FV(InflationRate,$CC$7,,$G46)), 0)),0)</f>
        <v>0</v>
      </c>
      <c r="CG46" s="160">
        <f>IF($C46&gt;0,(IF($C46=$CG$7,(-FV(InflationRate,$CG$7,,$D46)),0)),0)</f>
        <v>0</v>
      </c>
      <c r="CH46" s="150">
        <f>IF($C46&gt;0,(IF($CG$7&gt;=$C46+1, (-FV(InflationRate,$CG$7,,$E46)), 0)),0)</f>
        <v>0</v>
      </c>
      <c r="CI46" s="150">
        <f>IF($C46&gt;0,(IF($CG$7&gt;=$C46+1, (-FV(InflationRate,$CG$7,,$F46)), 0)),0)</f>
        <v>0</v>
      </c>
      <c r="CJ46" s="176">
        <f>IF($C46&gt;0,(IF($CG$7&gt;=$C46+1, (-FV(InflationRate,$CG$7,,$G46)), 0)),0)</f>
        <v>0</v>
      </c>
      <c r="CK46" s="168">
        <f>IF($C46&gt;0,(IF($C46=$CK$7,(-FV(InflationRate,$CK$7,,$D46)),0)),0)</f>
        <v>0</v>
      </c>
      <c r="CL46" s="149">
        <f>IF($C46&gt;0,(IF($CK$7&gt;=$C46+1, (-FV(InflationRate,$CK$7,,$E46)), 0)),0)</f>
        <v>0</v>
      </c>
      <c r="CM46" s="149">
        <f>IF($C46&gt;0,(IF($CK$7&gt;=$C46+1, (-FV(InflationRate,$CK$7,,$F46)), 0)),0)</f>
        <v>0</v>
      </c>
      <c r="CN46" s="157">
        <f>IF($C46&gt;0,(IF($CK$7&gt;=$C46+1, (-FV(InflationRate,$CK$7,,$G46)), 0)),0)</f>
        <v>0</v>
      </c>
      <c r="CO46" s="160">
        <f>IF($C46&gt;0,(IF($C46=$CO$7,(-FV(InflationRate,$CO$7,,$D46)),0)),0)</f>
        <v>0</v>
      </c>
      <c r="CP46" s="150">
        <f>IF($C46&gt;0,(IF($CO$7&gt;=$C46+1, (-FV(InflationRate,$CO$7,,$E46)), 0)),0)</f>
        <v>0</v>
      </c>
      <c r="CQ46" s="150">
        <f>IF($C46&gt;0,(IF($CO$7&gt;=$C46+1, (-FV(InflationRate,$CO$7,,$F46)), 0)),0)</f>
        <v>0</v>
      </c>
      <c r="CR46" s="176">
        <f>IF($C46&gt;0,(IF($CO$7&gt;=$C46+1, (-FV(InflationRate,$CO$7,,$G46)), 0)),0)</f>
        <v>0</v>
      </c>
      <c r="CS46" s="168">
        <f>IF($C46&gt;0,(IF($C46=$CS$7,(-FV(InflationRate,$CS$7,,$D46)),0)),0)</f>
        <v>0</v>
      </c>
      <c r="CT46" s="149">
        <f>IF($C46&gt;0,(IF($CS$7&gt;=$C46+1, (-FV(InflationRate,$CS$7,,$E46)), 0)),0)</f>
        <v>0</v>
      </c>
      <c r="CU46" s="149">
        <f>IF($C46&gt;0,(IF($CS$7&gt;=$C46+1, (-FV(InflationRate,$CS$7,,$F46)), 0)),0)</f>
        <v>0</v>
      </c>
      <c r="CV46" s="157">
        <f>IF($C46&gt;0,(IF($CS$7&gt;=$C46+1, (-FV(InflationRate,$CS$7,,$G46)), 0)),0)</f>
        <v>0</v>
      </c>
      <c r="CW46" s="160">
        <f>IF($C46&gt;0,(IF($C46=$CW$7,(-FV(InflationRate,$CW$7,,$D46)),0)),0)</f>
        <v>0</v>
      </c>
      <c r="CX46" s="150">
        <f>IF($C46&gt;0,(IF($CW$7&gt;=$C46+1, (-FV(InflationRate,$CW$7,,$E46)), 0)),0)</f>
        <v>0</v>
      </c>
      <c r="CY46" s="150">
        <f>IF($C46&gt;0,(IF($CW$7&gt;=$C46+1, (-FV(InflationRate,$CW$7,,$F46)), 0)),0)</f>
        <v>0</v>
      </c>
      <c r="CZ46" s="176">
        <f>IF($C46&gt;0,(IF($CW$7&gt;=$C46+1, (-FV(InflationRate,$CW$7,,$G46)), 0)),0)</f>
        <v>0</v>
      </c>
      <c r="DA46" s="168">
        <f>IF($C46&gt;0,(IF($C46=$DA$7,(-FV(InflationRate,$DA$7,,$D46)),0)),0)</f>
        <v>0</v>
      </c>
      <c r="DB46" s="149">
        <f>IF($C46&gt;0,(IF($DA$7&gt;=$C46+1, (-FV(InflationRate,$DA$7,,$E46)), 0)),0)</f>
        <v>0</v>
      </c>
      <c r="DC46" s="149">
        <f>IF($C46&gt;0,(IF($DA$7&gt;=$C46+1, (-FV(InflationRate,$DA$7,,$F46)), 0)),0)</f>
        <v>0</v>
      </c>
      <c r="DD46" s="157">
        <f>IF($C46&gt;0,(IF($DA$7&gt;=$C46+1, (-FV(InflationRate,$DA$7,,$G46)), 0)),0)</f>
        <v>0</v>
      </c>
    </row>
    <row r="47" spans="2:108" ht="12.75" customHeight="1" x14ac:dyDescent="0.2">
      <c r="B47" s="181"/>
      <c r="C47" s="189"/>
      <c r="D47" s="168"/>
      <c r="E47" s="149"/>
      <c r="F47" s="149"/>
      <c r="G47" s="149"/>
      <c r="H47" s="168"/>
      <c r="I47" s="600"/>
      <c r="J47" s="600"/>
      <c r="K47" s="600"/>
      <c r="L47" s="600"/>
      <c r="M47" s="600"/>
      <c r="N47" s="600"/>
      <c r="O47" s="600"/>
      <c r="P47" s="600"/>
      <c r="Q47" s="600"/>
      <c r="R47" s="600"/>
      <c r="S47" s="600"/>
      <c r="T47" s="600"/>
      <c r="U47" s="600"/>
      <c r="V47" s="600"/>
      <c r="W47" s="600"/>
      <c r="X47" s="600"/>
      <c r="Y47" s="600"/>
      <c r="Z47" s="600"/>
      <c r="AA47" s="600"/>
      <c r="AB47" s="601"/>
      <c r="AC47" s="160"/>
      <c r="AD47" s="150"/>
      <c r="AE47" s="150"/>
      <c r="AF47" s="165"/>
      <c r="AG47" s="168"/>
      <c r="AH47" s="149"/>
      <c r="AI47" s="149"/>
      <c r="AJ47" s="171"/>
      <c r="AK47" s="160"/>
      <c r="AL47" s="150"/>
      <c r="AM47" s="150"/>
      <c r="AN47" s="165"/>
      <c r="AO47" s="168"/>
      <c r="AP47" s="149"/>
      <c r="AQ47" s="149"/>
      <c r="AR47" s="157"/>
      <c r="AS47" s="160"/>
      <c r="AT47" s="150"/>
      <c r="AU47" s="150"/>
      <c r="AV47" s="165"/>
      <c r="AW47" s="168"/>
      <c r="AX47" s="149"/>
      <c r="AY47" s="149"/>
      <c r="AZ47" s="157"/>
      <c r="BA47" s="160"/>
      <c r="BB47" s="150"/>
      <c r="BC47" s="150"/>
      <c r="BD47" s="176"/>
      <c r="BE47" s="168"/>
      <c r="BF47" s="149"/>
      <c r="BG47" s="149"/>
      <c r="BH47" s="171"/>
      <c r="BI47" s="160"/>
      <c r="BJ47" s="150"/>
      <c r="BK47" s="150"/>
      <c r="BL47" s="176"/>
      <c r="BM47" s="168"/>
      <c r="BN47" s="149"/>
      <c r="BO47" s="149"/>
      <c r="BP47" s="157"/>
      <c r="BQ47" s="160"/>
      <c r="BR47" s="150"/>
      <c r="BS47" s="150"/>
      <c r="BT47" s="176"/>
      <c r="BU47" s="168"/>
      <c r="BV47" s="149"/>
      <c r="BW47" s="149"/>
      <c r="BX47" s="157"/>
      <c r="BY47" s="160"/>
      <c r="BZ47" s="150"/>
      <c r="CA47" s="150"/>
      <c r="CB47" s="176"/>
      <c r="CC47" s="168"/>
      <c r="CD47" s="149"/>
      <c r="CE47" s="149"/>
      <c r="CF47" s="157"/>
      <c r="CG47" s="160"/>
      <c r="CH47" s="150"/>
      <c r="CI47" s="150"/>
      <c r="CJ47" s="176"/>
      <c r="CK47" s="168"/>
      <c r="CL47" s="149"/>
      <c r="CM47" s="149"/>
      <c r="CN47" s="157"/>
      <c r="CO47" s="160"/>
      <c r="CP47" s="150"/>
      <c r="CQ47" s="150"/>
      <c r="CR47" s="176"/>
      <c r="CS47" s="168"/>
      <c r="CT47" s="149"/>
      <c r="CU47" s="149"/>
      <c r="CV47" s="157"/>
      <c r="CW47" s="160"/>
      <c r="CX47" s="150"/>
      <c r="CY47" s="150"/>
      <c r="CZ47" s="176"/>
      <c r="DA47" s="168"/>
      <c r="DB47" s="149"/>
      <c r="DC47" s="149"/>
      <c r="DD47" s="157"/>
    </row>
    <row r="48" spans="2:108" ht="12.75" customHeight="1" x14ac:dyDescent="0.2">
      <c r="B48" s="181" t="str">
        <f>'Effluent Disposal - Downtown'!B5</f>
        <v>Effluent Disposal - Downtown Area (Overland Way - Parcel 1/1A)</v>
      </c>
      <c r="C48" s="189"/>
      <c r="D48" s="194">
        <f>'Effluent Disposal - Downtown'!F34</f>
        <v>2902200</v>
      </c>
      <c r="E48" s="195">
        <f>'Effluent Disposal - Downtown'!F63</f>
        <v>11300</v>
      </c>
      <c r="F48" s="195">
        <f>'Effluent Disposal - Downtown'!F94</f>
        <v>0</v>
      </c>
      <c r="G48" s="195">
        <f>'Effluent Disposal - Downtown'!F123</f>
        <v>10800</v>
      </c>
      <c r="H48" s="168"/>
      <c r="I48" s="600"/>
      <c r="J48" s="600"/>
      <c r="K48" s="600"/>
      <c r="L48" s="600"/>
      <c r="M48" s="600"/>
      <c r="N48" s="600"/>
      <c r="O48" s="600"/>
      <c r="P48" s="600"/>
      <c r="Q48" s="600"/>
      <c r="R48" s="600"/>
      <c r="S48" s="600"/>
      <c r="T48" s="600"/>
      <c r="U48" s="600"/>
      <c r="V48" s="600"/>
      <c r="W48" s="600"/>
      <c r="X48" s="600"/>
      <c r="Y48" s="600"/>
      <c r="Z48" s="600"/>
      <c r="AA48" s="600"/>
      <c r="AB48" s="601"/>
      <c r="AC48" s="160"/>
      <c r="AD48" s="150"/>
      <c r="AE48" s="150"/>
      <c r="AF48" s="165"/>
      <c r="AG48" s="168"/>
      <c r="AH48" s="149"/>
      <c r="AI48" s="149"/>
      <c r="AJ48" s="171"/>
      <c r="AK48" s="160"/>
      <c r="AL48" s="150"/>
      <c r="AM48" s="150"/>
      <c r="AN48" s="165"/>
      <c r="AO48" s="168"/>
      <c r="AP48" s="149"/>
      <c r="AQ48" s="149"/>
      <c r="AR48" s="157"/>
      <c r="AS48" s="160"/>
      <c r="AT48" s="150"/>
      <c r="AU48" s="150"/>
      <c r="AV48" s="165"/>
      <c r="AW48" s="168"/>
      <c r="AX48" s="149"/>
      <c r="AY48" s="149"/>
      <c r="AZ48" s="157"/>
      <c r="BA48" s="160"/>
      <c r="BB48" s="150"/>
      <c r="BC48" s="150"/>
      <c r="BD48" s="176"/>
      <c r="BE48" s="168"/>
      <c r="BF48" s="149"/>
      <c r="BG48" s="149"/>
      <c r="BH48" s="171"/>
      <c r="BI48" s="160"/>
      <c r="BJ48" s="150"/>
      <c r="BK48" s="150"/>
      <c r="BL48" s="176"/>
      <c r="BM48" s="168"/>
      <c r="BN48" s="149"/>
      <c r="BO48" s="149"/>
      <c r="BP48" s="157"/>
      <c r="BQ48" s="160"/>
      <c r="BR48" s="150"/>
      <c r="BS48" s="150"/>
      <c r="BT48" s="176"/>
      <c r="BU48" s="168"/>
      <c r="BV48" s="149"/>
      <c r="BW48" s="149"/>
      <c r="BX48" s="157"/>
      <c r="BY48" s="160"/>
      <c r="BZ48" s="150"/>
      <c r="CA48" s="150"/>
      <c r="CB48" s="176"/>
      <c r="CC48" s="168"/>
      <c r="CD48" s="149"/>
      <c r="CE48" s="149"/>
      <c r="CF48" s="157"/>
      <c r="CG48" s="160"/>
      <c r="CH48" s="150"/>
      <c r="CI48" s="150"/>
      <c r="CJ48" s="176"/>
      <c r="CK48" s="168"/>
      <c r="CL48" s="149"/>
      <c r="CM48" s="149"/>
      <c r="CN48" s="157"/>
      <c r="CO48" s="160"/>
      <c r="CP48" s="150"/>
      <c r="CQ48" s="150"/>
      <c r="CR48" s="176"/>
      <c r="CS48" s="168"/>
      <c r="CT48" s="149"/>
      <c r="CU48" s="149"/>
      <c r="CV48" s="157"/>
      <c r="CW48" s="160"/>
      <c r="CX48" s="150"/>
      <c r="CY48" s="150"/>
      <c r="CZ48" s="176"/>
      <c r="DA48" s="168"/>
      <c r="DB48" s="149"/>
      <c r="DC48" s="149"/>
      <c r="DD48" s="157"/>
    </row>
    <row r="49" spans="2:108" ht="12.75" customHeight="1" x14ac:dyDescent="0.2">
      <c r="B49" s="182" t="s">
        <v>215</v>
      </c>
      <c r="C49" s="189"/>
      <c r="D49" s="168"/>
      <c r="E49" s="149"/>
      <c r="F49" s="149"/>
      <c r="G49" s="149"/>
      <c r="H49" s="168"/>
      <c r="I49" s="600"/>
      <c r="J49" s="600"/>
      <c r="K49" s="600"/>
      <c r="L49" s="600"/>
      <c r="M49" s="600"/>
      <c r="N49" s="600"/>
      <c r="O49" s="600"/>
      <c r="P49" s="600"/>
      <c r="Q49" s="600"/>
      <c r="R49" s="600"/>
      <c r="S49" s="600"/>
      <c r="T49" s="600"/>
      <c r="U49" s="600"/>
      <c r="V49" s="600"/>
      <c r="W49" s="600"/>
      <c r="X49" s="600"/>
      <c r="Y49" s="600"/>
      <c r="Z49" s="600"/>
      <c r="AA49" s="600"/>
      <c r="AB49" s="601"/>
      <c r="AC49" s="160"/>
      <c r="AD49" s="150"/>
      <c r="AE49" s="150"/>
      <c r="AF49" s="165"/>
      <c r="AG49" s="168"/>
      <c r="AH49" s="149"/>
      <c r="AI49" s="149"/>
      <c r="AJ49" s="171"/>
      <c r="AK49" s="160"/>
      <c r="AL49" s="150"/>
      <c r="AM49" s="150"/>
      <c r="AN49" s="165"/>
      <c r="AO49" s="168"/>
      <c r="AP49" s="149"/>
      <c r="AQ49" s="149"/>
      <c r="AR49" s="157"/>
      <c r="AS49" s="160"/>
      <c r="AT49" s="150"/>
      <c r="AU49" s="150"/>
      <c r="AV49" s="165"/>
      <c r="AW49" s="168"/>
      <c r="AX49" s="149"/>
      <c r="AY49" s="149"/>
      <c r="AZ49" s="157"/>
      <c r="BA49" s="160"/>
      <c r="BB49" s="150"/>
      <c r="BC49" s="150"/>
      <c r="BD49" s="176"/>
      <c r="BE49" s="168"/>
      <c r="BF49" s="149"/>
      <c r="BG49" s="149"/>
      <c r="BH49" s="171"/>
      <c r="BI49" s="160"/>
      <c r="BJ49" s="150"/>
      <c r="BK49" s="150"/>
      <c r="BL49" s="176"/>
      <c r="BM49" s="168"/>
      <c r="BN49" s="149"/>
      <c r="BO49" s="149"/>
      <c r="BP49" s="157"/>
      <c r="BQ49" s="160"/>
      <c r="BR49" s="150"/>
      <c r="BS49" s="150"/>
      <c r="BT49" s="176"/>
      <c r="BU49" s="168"/>
      <c r="BV49" s="149"/>
      <c r="BW49" s="149"/>
      <c r="BX49" s="157"/>
      <c r="BY49" s="160"/>
      <c r="BZ49" s="150"/>
      <c r="CA49" s="150"/>
      <c r="CB49" s="176"/>
      <c r="CC49" s="168"/>
      <c r="CD49" s="149"/>
      <c r="CE49" s="149"/>
      <c r="CF49" s="157"/>
      <c r="CG49" s="160"/>
      <c r="CH49" s="150"/>
      <c r="CI49" s="150"/>
      <c r="CJ49" s="176"/>
      <c r="CK49" s="168"/>
      <c r="CL49" s="149"/>
      <c r="CM49" s="149"/>
      <c r="CN49" s="157"/>
      <c r="CO49" s="160"/>
      <c r="CP49" s="150"/>
      <c r="CQ49" s="150"/>
      <c r="CR49" s="176"/>
      <c r="CS49" s="168"/>
      <c r="CT49" s="149"/>
      <c r="CU49" s="149"/>
      <c r="CV49" s="157"/>
      <c r="CW49" s="160"/>
      <c r="CX49" s="150"/>
      <c r="CY49" s="150"/>
      <c r="CZ49" s="176"/>
      <c r="DA49" s="168"/>
      <c r="DB49" s="149"/>
      <c r="DC49" s="149"/>
      <c r="DD49" s="157"/>
    </row>
    <row r="50" spans="2:108" ht="12.75" customHeight="1" x14ac:dyDescent="0.2">
      <c r="B50" s="183" t="s">
        <v>539</v>
      </c>
      <c r="C50" s="556">
        <v>1</v>
      </c>
      <c r="D50" s="557">
        <f>300300*0.25</f>
        <v>75075</v>
      </c>
      <c r="E50" s="149"/>
      <c r="F50" s="149"/>
      <c r="G50" s="149"/>
      <c r="H50" s="168">
        <f>SUM(I50:AB50)</f>
        <v>73965.517241379319</v>
      </c>
      <c r="I50" s="610">
        <f>-PV(InterestRate,I$8,,(SUM(AC50:AF50)))</f>
        <v>73965.517241379319</v>
      </c>
      <c r="J50" s="610">
        <f>-PV(InterestRate,J$8,,(SUM(AG50:AJ50)))</f>
        <v>0</v>
      </c>
      <c r="K50" s="610">
        <f>-PV(InterestRate,K$8,,(SUM(AK50:AN50)))</f>
        <v>0</v>
      </c>
      <c r="L50" s="610">
        <f>-PV(InterestRate,L$8,,(SUM(AO50:AR50)))</f>
        <v>0</v>
      </c>
      <c r="M50" s="610">
        <f>-PV(InterestRate,M$8,,(SUM(AS50:AV50)))</f>
        <v>0</v>
      </c>
      <c r="N50" s="610">
        <f>-PV(InterestRate,N$8,,(SUM(AW50:AZ50)))</f>
        <v>0</v>
      </c>
      <c r="O50" s="610">
        <f>-PV(InterestRate,O$8,,(SUM(BA50:BD50)))</f>
        <v>0</v>
      </c>
      <c r="P50" s="610">
        <f>-PV(InterestRate,P$8,,(SUM(BE50:BH50)))</f>
        <v>0</v>
      </c>
      <c r="Q50" s="610">
        <f>-PV(InterestRate,Q$8,,(SUM(BI50:BL50)))</f>
        <v>0</v>
      </c>
      <c r="R50" s="610">
        <f>-PV(InterestRate,R$8,,(SUM(BM50:BP50)))</f>
        <v>0</v>
      </c>
      <c r="S50" s="610">
        <f>-PV(InterestRate,S$8,,(SUM(BQ50:BT50)))</f>
        <v>0</v>
      </c>
      <c r="T50" s="610">
        <f>-PV(InterestRate,T$8,,(SUM(BU50:BX50)))</f>
        <v>0</v>
      </c>
      <c r="U50" s="610">
        <f>-PV(InterestRate,U$8,,(SUM(BY50:CB50)))</f>
        <v>0</v>
      </c>
      <c r="V50" s="610">
        <f>-PV(InterestRate,V$8,,(SUM(CC50:CF50)))</f>
        <v>0</v>
      </c>
      <c r="W50" s="610">
        <f>-PV(InterestRate,W$8,,(SUM(CG50:CJ50)))</f>
        <v>0</v>
      </c>
      <c r="X50" s="610">
        <f>-PV(InterestRate,X$8,,(SUM(CK50:CN50)))</f>
        <v>0</v>
      </c>
      <c r="Y50" s="610">
        <f>-PV(InterestRate,Y$8,,(SUM(CO50:CR50)))</f>
        <v>0</v>
      </c>
      <c r="Z50" s="610">
        <f>-PV(InterestRate,Z$8,,(SUM(CS50:CV50)))</f>
        <v>0</v>
      </c>
      <c r="AA50" s="610">
        <f>-PV(InterestRate,AA$8,,(SUM(CW50:CZ50)))</f>
        <v>0</v>
      </c>
      <c r="AB50" s="611">
        <f>-PV(InterestRate,AB$8,,(SUM(DA50:DD50)))</f>
        <v>0</v>
      </c>
      <c r="AC50" s="160">
        <f>IF($C50&gt;0,(IF($C50=$AC$7,$D50,0)),0)</f>
        <v>75075</v>
      </c>
      <c r="AD50" s="150">
        <f>IF($C50&gt;0,(IF($AC$7&gt;=$C50+1,$E50,0)),0)</f>
        <v>0</v>
      </c>
      <c r="AE50" s="150">
        <f>IF($C50&gt;0,(IF($C50=$AC$7,$F50,0)),0)</f>
        <v>0</v>
      </c>
      <c r="AF50" s="165">
        <f>IF($C50&gt;0,(IF($AC$7&gt;=$C50+1,$G50,0)),0)</f>
        <v>0</v>
      </c>
      <c r="AG50" s="168">
        <f>IF($C50&gt;0,(IF($C50=$AG$7,(-FV(InflationRate,$AG$7,,$D50)),0)),0)</f>
        <v>0</v>
      </c>
      <c r="AH50" s="149">
        <f>IF($C50&gt;0,(IF($AG$7&gt;=$C50+1, (-FV(InflationRate,$AG$7,,$E50)), 0)),0)</f>
        <v>0</v>
      </c>
      <c r="AI50" s="149">
        <f>IF($C50&gt;0,(IF($AG$7&gt;=$C50+1, (-FV(InflationRate,$AG$7,,$F50)), 0)),0)</f>
        <v>0</v>
      </c>
      <c r="AJ50" s="171">
        <f>IF($C50&gt;0,(IF($AG$7&gt;=$C50+1, (-FV(InflationRate,$AG$7,,$G50)), 0)),0)</f>
        <v>0</v>
      </c>
      <c r="AK50" s="160">
        <f>IF($C50&gt;0,(IF($C50=$AK$7,(-FV(InflationRate,$AK$7,,$D50)),0)),0)</f>
        <v>0</v>
      </c>
      <c r="AL50" s="150">
        <f>IF($C50&gt;0,(IF($AK$7&gt;=$C50+1, (-FV(InflationRate,$AK$7,,$E50)), 0)),0)</f>
        <v>0</v>
      </c>
      <c r="AM50" s="150">
        <f>IF($C50&gt;0,(IF($AK$7&gt;=$C50+1, (-FV(InflationRate,$AK$7,,$F50)), 0)),0)</f>
        <v>0</v>
      </c>
      <c r="AN50" s="165">
        <f>IF($C50&gt;0,(IF($AK$7&gt;=$C50+1, (-FV(InflationRate,$AK$7,,$G50)), 0)),0)</f>
        <v>0</v>
      </c>
      <c r="AO50" s="168">
        <f>IF($C50&gt;0,(IF($C50=$AO$7,(-FV(InflationRate,$AO$7,,$D50)),0)),0)</f>
        <v>0</v>
      </c>
      <c r="AP50" s="149">
        <f>IF($C50&gt;0,(IF($AO$7&gt;=$C50+1, (-FV(InflationRate,$AO$7,,$E50)), 0)),0)</f>
        <v>0</v>
      </c>
      <c r="AQ50" s="149">
        <f>IF($C50&gt;0,(IF($AO$7&gt;=$C50+1, (-FV(InflationRate,$AO$7,,$F50)), 0)),0)</f>
        <v>0</v>
      </c>
      <c r="AR50" s="157">
        <f>IF($C50&gt;0,(IF($AO$7&gt;=$C50+1, (-FV(InflationRate,$AO$7,,$G50)), 0)),0)</f>
        <v>0</v>
      </c>
      <c r="AS50" s="160">
        <f>IF($C50&gt;0,(IF($C50=$AS$7,(-FV(InflationRate,$AS$7,,$D50)),0)),0)</f>
        <v>0</v>
      </c>
      <c r="AT50" s="150">
        <f>IF($C50&gt;0,(IF($AS$7&gt;=$C50+1, (-FV(InflationRate,$AS$7,,$E50)), 0)),0)</f>
        <v>0</v>
      </c>
      <c r="AU50" s="150">
        <f>IF($C50&gt;0,(IF($AS$7&gt;=$C50+1, (-FV(InflationRate,$AS$7,,$F50)), 0)),0)</f>
        <v>0</v>
      </c>
      <c r="AV50" s="165">
        <f>IF($C50&gt;0,(IF($AS$7&gt;=$C50+1, (-FV(InflationRate,$AS$7,,$G50)), 0)),0)</f>
        <v>0</v>
      </c>
      <c r="AW50" s="168">
        <f>IF($C50&gt;0,(IF($C50=$AW$7,(-FV(InflationRate,$AW$7,,$D50)),0)),0)</f>
        <v>0</v>
      </c>
      <c r="AX50" s="149">
        <f>IF($C50&gt;0,(IF($AW$7&gt;=$C50+1, (-FV(InflationRate,$AW$7,,$E50)), 0)),0)</f>
        <v>0</v>
      </c>
      <c r="AY50" s="149">
        <f>IF($C50&gt;0,(IF($AW$7&gt;=$C50+1, (-FV(InflationRate,$AW$7,,$F50)), 0)),0)</f>
        <v>0</v>
      </c>
      <c r="AZ50" s="157">
        <f>IF($C50&gt;0,(IF($AW$7&gt;=$C50+1, (-FV(InflationRate,$AW$7,,$G50)), 0)),0)</f>
        <v>0</v>
      </c>
      <c r="BA50" s="160">
        <f>IF($C50&gt;0,(IF($C50=$BA$7,(-FV(InflationRate,$BA$7,,$D50)),0)),0)</f>
        <v>0</v>
      </c>
      <c r="BB50" s="150">
        <f>IF($C50&gt;0,(IF($BA$7&gt;=$C50+1, (-FV(InflationRate,$BA$7,,$E50)), 0)),0)</f>
        <v>0</v>
      </c>
      <c r="BC50" s="150">
        <f>IF($C50&gt;0,(IF($BA$7&gt;=$C50+1, (-FV(InflationRate,$BA$7,,$F50)), 0)),0)</f>
        <v>0</v>
      </c>
      <c r="BD50" s="176">
        <f>IF($C50&gt;0,(IF($BA$7&gt;=$C50+1, (-FV(InflationRate,$BA$7,,$G50)), 0)),0)</f>
        <v>0</v>
      </c>
      <c r="BE50" s="168">
        <f>IF($C50&gt;0,(IF($C50=$BE$7,(-FV(InflationRate,$BE$7,,$D50)),0)),0)</f>
        <v>0</v>
      </c>
      <c r="BF50" s="149">
        <f>IF($C50&gt;0,(IF($BE$7&gt;=$C50+1, (-FV(InflationRate,$BE$7,,$E50)), 0)),0)</f>
        <v>0</v>
      </c>
      <c r="BG50" s="149">
        <f>IF($C50&gt;0,(IF($BE$7&gt;=$C50+1, (-FV(InflationRate,$BE$7,,$F50)), 0)),0)</f>
        <v>0</v>
      </c>
      <c r="BH50" s="171">
        <f>IF($C50&gt;0,(IF($BE$7&gt;=$C50+1, (-FV(InflationRate,$BE$7,,$G50)), 0)),0)</f>
        <v>0</v>
      </c>
      <c r="BI50" s="160">
        <f>IF($C50&gt;0,(IF($C50=$BI$7,(-FV(InflationRate,$BI$7,,$D50)),0)),0)</f>
        <v>0</v>
      </c>
      <c r="BJ50" s="150">
        <f>IF($C50&gt;0,(IF($BI$7&gt;=$C50+1, (-FV(InflationRate,$BI$7,,$E50)), 0)),0)</f>
        <v>0</v>
      </c>
      <c r="BK50" s="150">
        <f>IF($C50&gt;0,(IF($BI$7&gt;=$C50+1, (-FV(InflationRate,$BI$7,,$F50)), 0)),0)</f>
        <v>0</v>
      </c>
      <c r="BL50" s="176">
        <f>IF($C50&gt;0,(IF($BI$7&gt;=$C50+1, (-FV(InflationRate,$BI$7,,$G50)), 0)),0)</f>
        <v>0</v>
      </c>
      <c r="BM50" s="168">
        <f>IF($C50&gt;0,(IF($C50=$BM$7,(-FV(InflationRate,$BM$7,,$D50)),0)),0)</f>
        <v>0</v>
      </c>
      <c r="BN50" s="149">
        <f>IF($C50&gt;0,(IF($BM$7&gt;=$C50+1, (-FV(InflationRate,$BM$7,,$E50)), 0)),0)</f>
        <v>0</v>
      </c>
      <c r="BO50" s="149">
        <f>IF($C50&gt;0,(IF($BM$7&gt;=$C50+1, (-FV(InflationRate,$BM$7,,$F50)), 0)),0)</f>
        <v>0</v>
      </c>
      <c r="BP50" s="157">
        <f>IF($C50&gt;0,(IF($BM$7&gt;=$C50+1, (-FV(InflationRate,$BM$7,,$G50)), 0)),0)</f>
        <v>0</v>
      </c>
      <c r="BQ50" s="160">
        <f>IF($C50&gt;0,(IF($C50=$BQ$7,(-FV(InflationRate,$BQ$7,,$D50)),0)),0)</f>
        <v>0</v>
      </c>
      <c r="BR50" s="150">
        <f>IF($C50&gt;0,(IF($BQ$7&gt;=$C50+1, (-FV(InflationRate,$BQ$7,,$E50)), 0)),0)</f>
        <v>0</v>
      </c>
      <c r="BS50" s="150">
        <f>IF($C50&gt;0,(IF($BQ$7&gt;=$C50+1, (-FV(InflationRate,$BQ$7,,$F50)), 0)),0)</f>
        <v>0</v>
      </c>
      <c r="BT50" s="176">
        <f>IF($C50&gt;0,(IF($BQ$7&gt;=$C50+1, (-FV(InflationRate,$BQ$7,,$G50)), 0)),0)</f>
        <v>0</v>
      </c>
      <c r="BU50" s="168">
        <f>IF($C50&gt;0,(IF($C50=$BU$7,(-FV(InflationRate,$BU$7,,$D50)),0)),0)</f>
        <v>0</v>
      </c>
      <c r="BV50" s="149">
        <f>IF($C50&gt;0,(IF($BU$7&gt;=$C50+1, (-FV(InflationRate,$BU$7,,$E50)), 0)),0)</f>
        <v>0</v>
      </c>
      <c r="BW50" s="149">
        <f>IF($C50&gt;0,(IF($BU$7&gt;=$C50+1, (-FV(InflationRate,$BU$7,,$F50)), 0)),0)</f>
        <v>0</v>
      </c>
      <c r="BX50" s="157">
        <f>IF($C50&gt;0,(IF($BU$7&gt;=$C50+1, (-FV(InflationRate,$BU$7,,$G50)), 0)),0)</f>
        <v>0</v>
      </c>
      <c r="BY50" s="160">
        <f>IF($C50&gt;0,(IF($C50=$BY$7,(-FV(InflationRate,$BY$7,,$D50)),0)),0)</f>
        <v>0</v>
      </c>
      <c r="BZ50" s="150">
        <f>IF($C50&gt;0,(IF($BY$7&gt;=$C50+1, (-FV(InflationRate,$BY$7,,$E50)), 0)),0)</f>
        <v>0</v>
      </c>
      <c r="CA50" s="150">
        <f>IF($C50&gt;0,(IF($BY$7&gt;=$C50+1, (-FV(InflationRate,$BY$7,,$F50)), 0)),0)</f>
        <v>0</v>
      </c>
      <c r="CB50" s="176">
        <f>IF($C50&gt;0,(IF($BY$7&gt;=$C50+1, (-FV(InflationRate,$BY$7,,$G50)), 0)),0)</f>
        <v>0</v>
      </c>
      <c r="CC50" s="168">
        <f>IF($C50&gt;0,(IF($C50=$CC$7,(-FV(InflationRate,$CC$7,,$D50)),0)),0)</f>
        <v>0</v>
      </c>
      <c r="CD50" s="149">
        <f>IF($C50&gt;0,(IF($CC$7&gt;=$C50+1, (-FV(InflationRate,$CC$7,,$E50)), 0)),0)</f>
        <v>0</v>
      </c>
      <c r="CE50" s="149">
        <f>IF($C50&gt;0,(IF($CC$7&gt;=$C50+1, (-FV(InflationRate,$CC$7,,$F50)), 0)),0)</f>
        <v>0</v>
      </c>
      <c r="CF50" s="157">
        <f>IF($C50&gt;0,(IF($CC$7&gt;=$C50+1, (-FV(InflationRate,$CC$7,,$G50)), 0)),0)</f>
        <v>0</v>
      </c>
      <c r="CG50" s="160">
        <f>IF($C50&gt;0,(IF($C50=$CG$7,(-FV(InflationRate,$CG$7,,$D50)),0)),0)</f>
        <v>0</v>
      </c>
      <c r="CH50" s="150">
        <f>IF($C50&gt;0,(IF($CG$7&gt;=$C50+1, (-FV(InflationRate,$CG$7,,$E50)), 0)),0)</f>
        <v>0</v>
      </c>
      <c r="CI50" s="150">
        <f>IF($C50&gt;0,(IF($CG$7&gt;=$C50+1, (-FV(InflationRate,$CG$7,,$F50)), 0)),0)</f>
        <v>0</v>
      </c>
      <c r="CJ50" s="176">
        <f>IF($C50&gt;0,(IF($CG$7&gt;=$C50+1, (-FV(InflationRate,$CG$7,,$G50)), 0)),0)</f>
        <v>0</v>
      </c>
      <c r="CK50" s="168">
        <f>IF($C50&gt;0,(IF($C50=$CK$7,(-FV(InflationRate,$CK$7,,$D50)),0)),0)</f>
        <v>0</v>
      </c>
      <c r="CL50" s="149">
        <f>IF($C50&gt;0,(IF($CK$7&gt;=$C50+1, (-FV(InflationRate,$CK$7,,$E50)), 0)),0)</f>
        <v>0</v>
      </c>
      <c r="CM50" s="149">
        <f>IF($C50&gt;0,(IF($CK$7&gt;=$C50+1, (-FV(InflationRate,$CK$7,,$F50)), 0)),0)</f>
        <v>0</v>
      </c>
      <c r="CN50" s="157">
        <f>IF($C50&gt;0,(IF($CK$7&gt;=$C50+1, (-FV(InflationRate,$CK$7,,$G50)), 0)),0)</f>
        <v>0</v>
      </c>
      <c r="CO50" s="160">
        <f>IF($C50&gt;0,(IF($C50=$CO$7,(-FV(InflationRate,$CO$7,,$D50)),0)),0)</f>
        <v>0</v>
      </c>
      <c r="CP50" s="150">
        <f>IF($C50&gt;0,(IF($CO$7&gt;=$C50+1, (-FV(InflationRate,$CO$7,,$E50)), 0)),0)</f>
        <v>0</v>
      </c>
      <c r="CQ50" s="150">
        <f>IF($C50&gt;0,(IF($CO$7&gt;=$C50+1, (-FV(InflationRate,$CO$7,,$F50)), 0)),0)</f>
        <v>0</v>
      </c>
      <c r="CR50" s="176">
        <f>IF($C50&gt;0,(IF($CO$7&gt;=$C50+1, (-FV(InflationRate,$CO$7,,$G50)), 0)),0)</f>
        <v>0</v>
      </c>
      <c r="CS50" s="168">
        <f>IF($C50&gt;0,(IF($C50=$CS$7,(-FV(InflationRate,$CS$7,,$D50)),0)),0)</f>
        <v>0</v>
      </c>
      <c r="CT50" s="149">
        <f>IF($C50&gt;0,(IF($CS$7&gt;=$C50+1, (-FV(InflationRate,$CS$7,,$E50)), 0)),0)</f>
        <v>0</v>
      </c>
      <c r="CU50" s="149">
        <f>IF($C50&gt;0,(IF($CS$7&gt;=$C50+1, (-FV(InflationRate,$CS$7,,$F50)), 0)),0)</f>
        <v>0</v>
      </c>
      <c r="CV50" s="157">
        <f>IF($C50&gt;0,(IF($CS$7&gt;=$C50+1, (-FV(InflationRate,$CS$7,,$G50)), 0)),0)</f>
        <v>0</v>
      </c>
      <c r="CW50" s="160">
        <f>IF($C50&gt;0,(IF($C50=$CW$7,(-FV(InflationRate,$CW$7,,$D50)),0)),0)</f>
        <v>0</v>
      </c>
      <c r="CX50" s="150">
        <f>IF($C50&gt;0,(IF($CW$7&gt;=$C50+1, (-FV(InflationRate,$CW$7,,$E50)), 0)),0)</f>
        <v>0</v>
      </c>
      <c r="CY50" s="150">
        <f>IF($C50&gt;0,(IF($CW$7&gt;=$C50+1, (-FV(InflationRate,$CW$7,,$F50)), 0)),0)</f>
        <v>0</v>
      </c>
      <c r="CZ50" s="176">
        <f>IF($C50&gt;0,(IF($CW$7&gt;=$C50+1, (-FV(InflationRate,$CW$7,,$G50)), 0)),0)</f>
        <v>0</v>
      </c>
      <c r="DA50" s="168">
        <f>IF($C50&gt;0,(IF($C50=$DA$7,(-FV(InflationRate,$DA$7,,$D50)),0)),0)</f>
        <v>0</v>
      </c>
      <c r="DB50" s="149">
        <f>IF($C50&gt;0,(IF($DA$7&gt;=$C50+1, (-FV(InflationRate,$DA$7,,$E50)), 0)),0)</f>
        <v>0</v>
      </c>
      <c r="DC50" s="149">
        <f>IF($C50&gt;0,(IF($DA$7&gt;=$C50+1, (-FV(InflationRate,$DA$7,,$F50)), 0)),0)</f>
        <v>0</v>
      </c>
      <c r="DD50" s="157">
        <f>IF($C50&gt;0,(IF($DA$7&gt;=$C50+1, (-FV(InflationRate,$DA$7,,$G50)), 0)),0)</f>
        <v>0</v>
      </c>
    </row>
    <row r="51" spans="2:108" ht="12.75" customHeight="1" x14ac:dyDescent="0.2">
      <c r="B51" s="183" t="s">
        <v>270</v>
      </c>
      <c r="C51" s="556"/>
      <c r="D51" s="557">
        <v>0</v>
      </c>
      <c r="E51" s="558">
        <v>0</v>
      </c>
      <c r="F51" s="149"/>
      <c r="G51" s="558">
        <v>0</v>
      </c>
      <c r="H51" s="168">
        <f>SUM(I51:AB51)</f>
        <v>0</v>
      </c>
      <c r="I51" s="610">
        <f>-PV(InterestRate,I$8,,(SUM(AC51:AF51)))</f>
        <v>0</v>
      </c>
      <c r="J51" s="610">
        <f>-PV(InterestRate,J$8,,(SUM(AG51:AJ51)))</f>
        <v>0</v>
      </c>
      <c r="K51" s="610">
        <f>-PV(InterestRate,K$8,,(SUM(AK51:AN51)))</f>
        <v>0</v>
      </c>
      <c r="L51" s="610">
        <f>-PV(InterestRate,L$8,,(SUM(AO51:AR51)))</f>
        <v>0</v>
      </c>
      <c r="M51" s="610">
        <f>-PV(InterestRate,M$8,,(SUM(AS51:AV51)))</f>
        <v>0</v>
      </c>
      <c r="N51" s="610">
        <f>-PV(InterestRate,N$8,,(SUM(AW51:AZ51)))</f>
        <v>0</v>
      </c>
      <c r="O51" s="610">
        <f>-PV(InterestRate,O$8,,(SUM(BA51:BD51)))</f>
        <v>0</v>
      </c>
      <c r="P51" s="610">
        <f>-PV(InterestRate,P$8,,(SUM(BE51:BH51)))</f>
        <v>0</v>
      </c>
      <c r="Q51" s="610">
        <f>-PV(InterestRate,Q$8,,(SUM(BI51:BL51)))</f>
        <v>0</v>
      </c>
      <c r="R51" s="610">
        <f>-PV(InterestRate,R$8,,(SUM(BM51:BP51)))</f>
        <v>0</v>
      </c>
      <c r="S51" s="610">
        <f>-PV(InterestRate,S$8,,(SUM(BQ51:BT51)))</f>
        <v>0</v>
      </c>
      <c r="T51" s="610">
        <f>-PV(InterestRate,T$8,,(SUM(BU51:BX51)))</f>
        <v>0</v>
      </c>
      <c r="U51" s="610">
        <f>-PV(InterestRate,U$8,,(SUM(BY51:CB51)))</f>
        <v>0</v>
      </c>
      <c r="V51" s="610">
        <f>-PV(InterestRate,V$8,,(SUM(CC51:CF51)))</f>
        <v>0</v>
      </c>
      <c r="W51" s="610">
        <f>-PV(InterestRate,W$8,,(SUM(CG51:CJ51)))</f>
        <v>0</v>
      </c>
      <c r="X51" s="610">
        <f>-PV(InterestRate,X$8,,(SUM(CK51:CN51)))</f>
        <v>0</v>
      </c>
      <c r="Y51" s="610">
        <f>-PV(InterestRate,Y$8,,(SUM(CO51:CR51)))</f>
        <v>0</v>
      </c>
      <c r="Z51" s="610">
        <f>-PV(InterestRate,Z$8,,(SUM(CS51:CV51)))</f>
        <v>0</v>
      </c>
      <c r="AA51" s="610">
        <f>-PV(InterestRate,AA$8,,(SUM(CW51:CZ51)))</f>
        <v>0</v>
      </c>
      <c r="AB51" s="611">
        <f>-PV(InterestRate,AB$8,,(SUM(DA51:DD51)))</f>
        <v>0</v>
      </c>
      <c r="AC51" s="160">
        <f>IF($C51&gt;0,(IF($C51=$AC$7,$D51,0)),0)</f>
        <v>0</v>
      </c>
      <c r="AD51" s="150">
        <f>IF($C51&gt;0,(IF($AC$7&gt;=$C51+1,$E51,0)),0)</f>
        <v>0</v>
      </c>
      <c r="AE51" s="150">
        <f>IF($C51&gt;0,(IF($C51=$AC$7,$F51,0)),0)</f>
        <v>0</v>
      </c>
      <c r="AF51" s="165">
        <f>IF($C51&gt;0,(IF($AC$7&gt;=$C51+1,$G51,0)),0)</f>
        <v>0</v>
      </c>
      <c r="AG51" s="168">
        <f>IF($C51&gt;0,(IF($C51=$AG$7,(-FV(InflationRate,$AG$7,,$D51)),0)),0)</f>
        <v>0</v>
      </c>
      <c r="AH51" s="149">
        <f>IF($C51&gt;0,(IF($AG$7&gt;=$C51+1, (-FV(InflationRate,$AG$7,,$E51)), 0)),0)</f>
        <v>0</v>
      </c>
      <c r="AI51" s="149">
        <f>IF($C51&gt;0,(IF($AG$7&gt;=$C51+1, (-FV(InflationRate,$AG$7,,$F51)), 0)),0)</f>
        <v>0</v>
      </c>
      <c r="AJ51" s="171">
        <f>IF($C51&gt;0,(IF($AG$7&gt;=$C51+1, (-FV(InflationRate,$AG$7,,$G51)), 0)),0)</f>
        <v>0</v>
      </c>
      <c r="AK51" s="160">
        <f>IF($C51&gt;0,(IF($C51=$AK$7,(-FV(InflationRate,$AK$7,,$D51)),0)),0)</f>
        <v>0</v>
      </c>
      <c r="AL51" s="150">
        <f>IF($C51&gt;0,(IF($AK$7&gt;=$C51+1, (-FV(InflationRate,$AK$7,,$E51)), 0)),0)</f>
        <v>0</v>
      </c>
      <c r="AM51" s="150">
        <f>IF($C51&gt;0,(IF($AK$7&gt;=$C51+1, (-FV(InflationRate,$AK$7,,$F51)), 0)),0)</f>
        <v>0</v>
      </c>
      <c r="AN51" s="165">
        <f>IF($C51&gt;0,(IF($AK$7&gt;=$C51+1, (-FV(InflationRate,$AK$7,,$G51)), 0)),0)</f>
        <v>0</v>
      </c>
      <c r="AO51" s="168">
        <f>IF($C51&gt;0,(IF($C51=$AO$7,(-FV(InflationRate,$AO$7,,$D51)),0)),0)</f>
        <v>0</v>
      </c>
      <c r="AP51" s="149">
        <f>IF($C51&gt;0,(IF($AO$7&gt;=$C51+1, (-FV(InflationRate,$AO$7,,$E51)), 0)),0)</f>
        <v>0</v>
      </c>
      <c r="AQ51" s="149">
        <f>IF($C51&gt;0,(IF($AO$7&gt;=$C51+1, (-FV(InflationRate,$AO$7,,$F51)), 0)),0)</f>
        <v>0</v>
      </c>
      <c r="AR51" s="157">
        <f>IF($C51&gt;0,(IF($AO$7&gt;=$C51+1, (-FV(InflationRate,$AO$7,,$G51)), 0)),0)</f>
        <v>0</v>
      </c>
      <c r="AS51" s="160">
        <f>IF($C51&gt;0,(IF($C51=$AS$7,(-FV(InflationRate,$AS$7,,$D51)),0)),0)</f>
        <v>0</v>
      </c>
      <c r="AT51" s="150">
        <f>IF($C51&gt;0,(IF($AS$7&gt;=$C51+1, (-FV(InflationRate,$AS$7,,$E51)), 0)),0)</f>
        <v>0</v>
      </c>
      <c r="AU51" s="150">
        <f>IF($C51&gt;0,(IF($AS$7&gt;=$C51+1, (-FV(InflationRate,$AS$7,,$F51)), 0)),0)</f>
        <v>0</v>
      </c>
      <c r="AV51" s="165">
        <f>IF($C51&gt;0,(IF($AS$7&gt;=$C51+1, (-FV(InflationRate,$AS$7,,$G51)), 0)),0)</f>
        <v>0</v>
      </c>
      <c r="AW51" s="168">
        <f>IF($C51&gt;0,(IF($C51=$AW$7,(-FV(InflationRate,$AW$7,,$D51)),0)),0)</f>
        <v>0</v>
      </c>
      <c r="AX51" s="149">
        <f>IF($C51&gt;0,(IF($AW$7&gt;=$C51+1, (-FV(InflationRate,$AW$7,,$E51)), 0)),0)</f>
        <v>0</v>
      </c>
      <c r="AY51" s="149">
        <f>IF($C51&gt;0,(IF($AW$7&gt;=$C51+1, (-FV(InflationRate,$AW$7,,$F51)), 0)),0)</f>
        <v>0</v>
      </c>
      <c r="AZ51" s="157">
        <f>IF($C51&gt;0,(IF($AW$7&gt;=$C51+1, (-FV(InflationRate,$AW$7,,$G51)), 0)),0)</f>
        <v>0</v>
      </c>
      <c r="BA51" s="160">
        <f>IF($C51&gt;0,(IF($C51=$BA$7,(-FV(InflationRate,$BA$7,,$D51)),0)),0)</f>
        <v>0</v>
      </c>
      <c r="BB51" s="150">
        <f>IF($C51&gt;0,(IF($BA$7&gt;=$C51+1, (-FV(InflationRate,$BA$7,,$E51)), 0)),0)</f>
        <v>0</v>
      </c>
      <c r="BC51" s="150">
        <f>IF($C51&gt;0,(IF($BA$7&gt;=$C51+1, (-FV(InflationRate,$BA$7,,$F51)), 0)),0)</f>
        <v>0</v>
      </c>
      <c r="BD51" s="176">
        <f>IF($C51&gt;0,(IF($BA$7&gt;=$C51+1, (-FV(InflationRate,$BA$7,,$G51)), 0)),0)</f>
        <v>0</v>
      </c>
      <c r="BE51" s="168">
        <f>IF($C51&gt;0,(IF($C51=$BE$7,(-FV(InflationRate,$BE$7,,$D51)),0)),0)</f>
        <v>0</v>
      </c>
      <c r="BF51" s="149">
        <f>IF($C51&gt;0,(IF($BE$7&gt;=$C51+1, (-FV(InflationRate,$BE$7,,$E51)), 0)),0)</f>
        <v>0</v>
      </c>
      <c r="BG51" s="149">
        <f>IF($C51&gt;0,(IF($BE$7&gt;=$C51+1, (-FV(InflationRate,$BE$7,,$F51)), 0)),0)</f>
        <v>0</v>
      </c>
      <c r="BH51" s="171">
        <f>IF($C51&gt;0,(IF($BE$7&gt;=$C51+1, (-FV(InflationRate,$BE$7,,$G51)), 0)),0)</f>
        <v>0</v>
      </c>
      <c r="BI51" s="160">
        <f>IF($C51&gt;0,(IF($C51=$BI$7,(-FV(InflationRate,$BI$7,,$D51)),0)),0)</f>
        <v>0</v>
      </c>
      <c r="BJ51" s="150">
        <f>IF($C51&gt;0,(IF($BI$7&gt;=$C51+1, (-FV(InflationRate,$BI$7,,$E51)), 0)),0)</f>
        <v>0</v>
      </c>
      <c r="BK51" s="150">
        <f>IF($C51&gt;0,(IF($BI$7&gt;=$C51+1, (-FV(InflationRate,$BI$7,,$F51)), 0)),0)</f>
        <v>0</v>
      </c>
      <c r="BL51" s="176">
        <f>IF($C51&gt;0,(IF($BI$7&gt;=$C51+1, (-FV(InflationRate,$BI$7,,$G51)), 0)),0)</f>
        <v>0</v>
      </c>
      <c r="BM51" s="168">
        <f>IF($C51&gt;0,(IF($C51=$BM$7,(-FV(InflationRate,$BM$7,,$D51)),0)),0)</f>
        <v>0</v>
      </c>
      <c r="BN51" s="149">
        <f>IF($C51&gt;0,(IF($BM$7&gt;=$C51+1, (-FV(InflationRate,$BM$7,,$E51)), 0)),0)</f>
        <v>0</v>
      </c>
      <c r="BO51" s="149">
        <f>IF($C51&gt;0,(IF($BM$7&gt;=$C51+1, (-FV(InflationRate,$BM$7,,$F51)), 0)),0)</f>
        <v>0</v>
      </c>
      <c r="BP51" s="157">
        <f>IF($C51&gt;0,(IF($BM$7&gt;=$C51+1, (-FV(InflationRate,$BM$7,,$G51)), 0)),0)</f>
        <v>0</v>
      </c>
      <c r="BQ51" s="160">
        <f>IF($C51&gt;0,(IF($C51=$BQ$7,(-FV(InflationRate,$BQ$7,,$D51)),0)),0)</f>
        <v>0</v>
      </c>
      <c r="BR51" s="150">
        <f>IF($C51&gt;0,(IF($BQ$7&gt;=$C51+1, (-FV(InflationRate,$BQ$7,,$E51)), 0)),0)</f>
        <v>0</v>
      </c>
      <c r="BS51" s="150">
        <f>IF($C51&gt;0,(IF($BQ$7&gt;=$C51+1, (-FV(InflationRate,$BQ$7,,$F51)), 0)),0)</f>
        <v>0</v>
      </c>
      <c r="BT51" s="176">
        <f>IF($C51&gt;0,(IF($BQ$7&gt;=$C51+1, (-FV(InflationRate,$BQ$7,,$G51)), 0)),0)</f>
        <v>0</v>
      </c>
      <c r="BU51" s="168">
        <f>IF($C51&gt;0,(IF($C51=$BU$7,(-FV(InflationRate,$BU$7,,$D51)),0)),0)</f>
        <v>0</v>
      </c>
      <c r="BV51" s="149">
        <f>IF($C51&gt;0,(IF($BU$7&gt;=$C51+1, (-FV(InflationRate,$BU$7,,$E51)), 0)),0)</f>
        <v>0</v>
      </c>
      <c r="BW51" s="149">
        <f>IF($C51&gt;0,(IF($BU$7&gt;=$C51+1, (-FV(InflationRate,$BU$7,,$F51)), 0)),0)</f>
        <v>0</v>
      </c>
      <c r="BX51" s="157">
        <f>IF($C51&gt;0,(IF($BU$7&gt;=$C51+1, (-FV(InflationRate,$BU$7,,$G51)), 0)),0)</f>
        <v>0</v>
      </c>
      <c r="BY51" s="160">
        <f>IF($C51&gt;0,(IF($C51=$BY$7,(-FV(InflationRate,$BY$7,,$D51)),0)),0)</f>
        <v>0</v>
      </c>
      <c r="BZ51" s="150">
        <f>IF($C51&gt;0,(IF($BY$7&gt;=$C51+1, (-FV(InflationRate,$BY$7,,$E51)), 0)),0)</f>
        <v>0</v>
      </c>
      <c r="CA51" s="150">
        <f>IF($C51&gt;0,(IF($BY$7&gt;=$C51+1, (-FV(InflationRate,$BY$7,,$F51)), 0)),0)</f>
        <v>0</v>
      </c>
      <c r="CB51" s="176">
        <f>IF($C51&gt;0,(IF($BY$7&gt;=$C51+1, (-FV(InflationRate,$BY$7,,$G51)), 0)),0)</f>
        <v>0</v>
      </c>
      <c r="CC51" s="168">
        <f>IF($C51&gt;0,(IF($C51=$CC$7,(-FV(InflationRate,$CC$7,,$D51)),0)),0)</f>
        <v>0</v>
      </c>
      <c r="CD51" s="149">
        <f>IF($C51&gt;0,(IF($CC$7&gt;=$C51+1, (-FV(InflationRate,$CC$7,,$E51)), 0)),0)</f>
        <v>0</v>
      </c>
      <c r="CE51" s="149">
        <f>IF($C51&gt;0,(IF($CC$7&gt;=$C51+1, (-FV(InflationRate,$CC$7,,$F51)), 0)),0)</f>
        <v>0</v>
      </c>
      <c r="CF51" s="157">
        <f>IF($C51&gt;0,(IF($CC$7&gt;=$C51+1, (-FV(InflationRate,$CC$7,,$G51)), 0)),0)</f>
        <v>0</v>
      </c>
      <c r="CG51" s="160">
        <f>IF($C51&gt;0,(IF($C51=$CG$7,(-FV(InflationRate,$CG$7,,$D51)),0)),0)</f>
        <v>0</v>
      </c>
      <c r="CH51" s="150">
        <f>IF($C51&gt;0,(IF($CG$7&gt;=$C51+1, (-FV(InflationRate,$CG$7,,$E51)), 0)),0)</f>
        <v>0</v>
      </c>
      <c r="CI51" s="150">
        <f>IF($C51&gt;0,(IF($CG$7&gt;=$C51+1, (-FV(InflationRate,$CG$7,,$F51)), 0)),0)</f>
        <v>0</v>
      </c>
      <c r="CJ51" s="176">
        <f>IF($C51&gt;0,(IF($CG$7&gt;=$C51+1, (-FV(InflationRate,$CG$7,,$G51)), 0)),0)</f>
        <v>0</v>
      </c>
      <c r="CK51" s="168">
        <f>IF($C51&gt;0,(IF($C51=$CK$7,(-FV(InflationRate,$CK$7,,$D51)),0)),0)</f>
        <v>0</v>
      </c>
      <c r="CL51" s="149">
        <f>IF($C51&gt;0,(IF($CK$7&gt;=$C51+1, (-FV(InflationRate,$CK$7,,$E51)), 0)),0)</f>
        <v>0</v>
      </c>
      <c r="CM51" s="149">
        <f>IF($C51&gt;0,(IF($CK$7&gt;=$C51+1, (-FV(InflationRate,$CK$7,,$F51)), 0)),0)</f>
        <v>0</v>
      </c>
      <c r="CN51" s="157">
        <f>IF($C51&gt;0,(IF($CK$7&gt;=$C51+1, (-FV(InflationRate,$CK$7,,$G51)), 0)),0)</f>
        <v>0</v>
      </c>
      <c r="CO51" s="160">
        <f>IF($C51&gt;0,(IF($C51=$CO$7,(-FV(InflationRate,$CO$7,,$D51)),0)),0)</f>
        <v>0</v>
      </c>
      <c r="CP51" s="150">
        <f>IF($C51&gt;0,(IF($CO$7&gt;=$C51+1, (-FV(InflationRate,$CO$7,,$E51)), 0)),0)</f>
        <v>0</v>
      </c>
      <c r="CQ51" s="150">
        <f>IF($C51&gt;0,(IF($CO$7&gt;=$C51+1, (-FV(InflationRate,$CO$7,,$F51)), 0)),0)</f>
        <v>0</v>
      </c>
      <c r="CR51" s="176">
        <f>IF($C51&gt;0,(IF($CO$7&gt;=$C51+1, (-FV(InflationRate,$CO$7,,$G51)), 0)),0)</f>
        <v>0</v>
      </c>
      <c r="CS51" s="168">
        <f>IF($C51&gt;0,(IF($C51=$CS$7,(-FV(InflationRate,$CS$7,,$D51)),0)),0)</f>
        <v>0</v>
      </c>
      <c r="CT51" s="149">
        <f>IF($C51&gt;0,(IF($CS$7&gt;=$C51+1, (-FV(InflationRate,$CS$7,,$E51)), 0)),0)</f>
        <v>0</v>
      </c>
      <c r="CU51" s="149">
        <f>IF($C51&gt;0,(IF($CS$7&gt;=$C51+1, (-FV(InflationRate,$CS$7,,$F51)), 0)),0)</f>
        <v>0</v>
      </c>
      <c r="CV51" s="157">
        <f>IF($C51&gt;0,(IF($CS$7&gt;=$C51+1, (-FV(InflationRate,$CS$7,,$G51)), 0)),0)</f>
        <v>0</v>
      </c>
      <c r="CW51" s="160">
        <f>IF($C51&gt;0,(IF($C51=$CW$7,(-FV(InflationRate,$CW$7,,$D51)),0)),0)</f>
        <v>0</v>
      </c>
      <c r="CX51" s="150">
        <f>IF($C51&gt;0,(IF($CW$7&gt;=$C51+1, (-FV(InflationRate,$CW$7,,$E51)), 0)),0)</f>
        <v>0</v>
      </c>
      <c r="CY51" s="150">
        <f>IF($C51&gt;0,(IF($CW$7&gt;=$C51+1, (-FV(InflationRate,$CW$7,,$F51)), 0)),0)</f>
        <v>0</v>
      </c>
      <c r="CZ51" s="176">
        <f>IF($C51&gt;0,(IF($CW$7&gt;=$C51+1, (-FV(InflationRate,$CW$7,,$G51)), 0)),0)</f>
        <v>0</v>
      </c>
      <c r="DA51" s="168">
        <f>IF($C51&gt;0,(IF($C51=$DA$7,(-FV(InflationRate,$DA$7,,$D51)),0)),0)</f>
        <v>0</v>
      </c>
      <c r="DB51" s="149">
        <f>IF($C51&gt;0,(IF($DA$7&gt;=$C51+1, (-FV(InflationRate,$DA$7,,$E51)), 0)),0)</f>
        <v>0</v>
      </c>
      <c r="DC51" s="149">
        <f>IF($C51&gt;0,(IF($DA$7&gt;=$C51+1, (-FV(InflationRate,$DA$7,,$F51)), 0)),0)</f>
        <v>0</v>
      </c>
      <c r="DD51" s="157">
        <f>IF($C51&gt;0,(IF($DA$7&gt;=$C51+1, (-FV(InflationRate,$DA$7,,$G51)), 0)),0)</f>
        <v>0</v>
      </c>
    </row>
    <row r="52" spans="2:108" ht="12.75" customHeight="1" x14ac:dyDescent="0.2">
      <c r="B52" s="183" t="s">
        <v>203</v>
      </c>
      <c r="C52" s="556"/>
      <c r="D52" s="168"/>
      <c r="E52" s="149"/>
      <c r="F52" s="558">
        <v>0</v>
      </c>
      <c r="G52" s="149"/>
      <c r="H52" s="168">
        <f>SUM(I52:AB52)</f>
        <v>0</v>
      </c>
      <c r="I52" s="610">
        <f>-PV(InterestRate,I$8,,(SUM(AC52:AF52)))</f>
        <v>0</v>
      </c>
      <c r="J52" s="610">
        <f>-PV(InterestRate,J$8,,(SUM(AG52:AJ52)))</f>
        <v>0</v>
      </c>
      <c r="K52" s="610">
        <f>-PV(InterestRate,K$8,,(SUM(AK52:AN52)))</f>
        <v>0</v>
      </c>
      <c r="L52" s="610">
        <f>-PV(InterestRate,L$8,,(SUM(AO52:AR52)))</f>
        <v>0</v>
      </c>
      <c r="M52" s="610">
        <f>-PV(InterestRate,M$8,,(SUM(AS52:AV52)))</f>
        <v>0</v>
      </c>
      <c r="N52" s="610">
        <f>-PV(InterestRate,N$8,,(SUM(AW52:AZ52)))</f>
        <v>0</v>
      </c>
      <c r="O52" s="610">
        <f>-PV(InterestRate,O$8,,(SUM(BA52:BD52)))</f>
        <v>0</v>
      </c>
      <c r="P52" s="610">
        <f>-PV(InterestRate,P$8,,(SUM(BE52:BH52)))</f>
        <v>0</v>
      </c>
      <c r="Q52" s="610">
        <f>-PV(InterestRate,Q$8,,(SUM(BI52:BL52)))</f>
        <v>0</v>
      </c>
      <c r="R52" s="610">
        <f>-PV(InterestRate,R$8,,(SUM(BM52:BP52)))</f>
        <v>0</v>
      </c>
      <c r="S52" s="610">
        <f>-PV(InterestRate,S$8,,(SUM(BQ52:BT52)))</f>
        <v>0</v>
      </c>
      <c r="T52" s="610">
        <f>-PV(InterestRate,T$8,,(SUM(BU52:BX52)))</f>
        <v>0</v>
      </c>
      <c r="U52" s="610">
        <f>-PV(InterestRate,U$8,,(SUM(BY52:CB52)))</f>
        <v>0</v>
      </c>
      <c r="V52" s="610">
        <f>-PV(InterestRate,V$8,,(SUM(CC52:CF52)))</f>
        <v>0</v>
      </c>
      <c r="W52" s="610">
        <f>-PV(InterestRate,W$8,,(SUM(CG52:CJ52)))</f>
        <v>0</v>
      </c>
      <c r="X52" s="610">
        <f>-PV(InterestRate,X$8,,(SUM(CK52:CN52)))</f>
        <v>0</v>
      </c>
      <c r="Y52" s="610">
        <f>-PV(InterestRate,Y$8,,(SUM(CO52:CR52)))</f>
        <v>0</v>
      </c>
      <c r="Z52" s="610">
        <f>-PV(InterestRate,Z$8,,(SUM(CS52:CV52)))</f>
        <v>0</v>
      </c>
      <c r="AA52" s="610">
        <f>-PV(InterestRate,AA$8,,(SUM(CW52:CZ52)))</f>
        <v>0</v>
      </c>
      <c r="AB52" s="611">
        <f>-PV(InterestRate,AB$8,,(SUM(DA52:DD52)))</f>
        <v>0</v>
      </c>
      <c r="AC52" s="160">
        <f>IF($C52&gt;0,(IF($C52=$AC$7,$D52,0)),0)</f>
        <v>0</v>
      </c>
      <c r="AD52" s="150">
        <f>IF($C52&gt;0,(IF($AC$7&gt;=$C52+1,$E52,0)),0)</f>
        <v>0</v>
      </c>
      <c r="AE52" s="150">
        <f>IF($C52&gt;0,(IF($C52=$AC$7,$F52,0)),0)</f>
        <v>0</v>
      </c>
      <c r="AF52" s="165">
        <f>IF($C52&gt;0,(IF($AC$7&gt;=$C52+1,$G52,0)),0)</f>
        <v>0</v>
      </c>
      <c r="AG52" s="168">
        <f>IF($C52&gt;0,(IF($C52=$AG$7,(-FV(InflationRate,$AG$7,,$D52)),0)),0)</f>
        <v>0</v>
      </c>
      <c r="AH52" s="149">
        <f>IF($C52&gt;0,(IF($AG$7&gt;=$C52+1, (-FV(InflationRate,$AG$7,,$E52)), 0)),0)</f>
        <v>0</v>
      </c>
      <c r="AI52" s="149">
        <f>IF($C52&gt;0,(IF($AG$7&gt;=$C52+1, (-FV(InflationRate,$AG$7,,$F52)), 0)),0)</f>
        <v>0</v>
      </c>
      <c r="AJ52" s="171">
        <f>IF($C52&gt;0,(IF($AG$7&gt;=$C52+1, (-FV(InflationRate,$AG$7,,$G52)), 0)),0)</f>
        <v>0</v>
      </c>
      <c r="AK52" s="160">
        <f>IF($C52&gt;0,(IF($C52=$AK$7,(-FV(InflationRate,$AK$7,,$D52)),0)),0)</f>
        <v>0</v>
      </c>
      <c r="AL52" s="150">
        <f>IF($C52&gt;0,(IF($AK$7&gt;=$C52+1, (-FV(InflationRate,$AK$7,,$E52)), 0)),0)</f>
        <v>0</v>
      </c>
      <c r="AM52" s="150">
        <f>IF($C52&gt;0,(IF($AK$7&gt;=$C52+1, (-FV(InflationRate,$AK$7,,$F52)), 0)),0)</f>
        <v>0</v>
      </c>
      <c r="AN52" s="165">
        <f>IF($C52&gt;0,(IF($AK$7&gt;=$C52+1, (-FV(InflationRate,$AK$7,,$G52)), 0)),0)</f>
        <v>0</v>
      </c>
      <c r="AO52" s="168">
        <f>IF($C52&gt;0,(IF($C52=$AO$7,(-FV(InflationRate,$AO$7,,$D52)),0)),0)</f>
        <v>0</v>
      </c>
      <c r="AP52" s="149">
        <f>IF($C52&gt;0,(IF($AO$7&gt;=$C52+1, (-FV(InflationRate,$AO$7,,$E52)), 0)),0)</f>
        <v>0</v>
      </c>
      <c r="AQ52" s="149">
        <f>IF($C52&gt;0,(IF($AO$7&gt;=$C52+1, (-FV(InflationRate,$AO$7,,$F52)), 0)),0)</f>
        <v>0</v>
      </c>
      <c r="AR52" s="157">
        <f>IF($C52&gt;0,(IF($AO$7&gt;=$C52+1, (-FV(InflationRate,$AO$7,,$G52)), 0)),0)</f>
        <v>0</v>
      </c>
      <c r="AS52" s="160">
        <f>IF($C52&gt;0,(IF($C52=$AS$7,(-FV(InflationRate,$AS$7,,$D52)),0)),0)</f>
        <v>0</v>
      </c>
      <c r="AT52" s="150">
        <f>IF($C52&gt;0,(IF($AS$7&gt;=$C52+1, (-FV(InflationRate,$AS$7,,$E52)), 0)),0)</f>
        <v>0</v>
      </c>
      <c r="AU52" s="150">
        <f>IF($C52&gt;0,(IF($AS$7&gt;=$C52+1, (-FV(InflationRate,$AS$7,,$F52)), 0)),0)</f>
        <v>0</v>
      </c>
      <c r="AV52" s="165">
        <f>IF($C52&gt;0,(IF($AS$7&gt;=$C52+1, (-FV(InflationRate,$AS$7,,$G52)), 0)),0)</f>
        <v>0</v>
      </c>
      <c r="AW52" s="168">
        <f>IF($C52&gt;0,(IF($C52=$AW$7,(-FV(InflationRate,$AW$7,,$D52)),0)),0)</f>
        <v>0</v>
      </c>
      <c r="AX52" s="149">
        <f>IF($C52&gt;0,(IF($AW$7&gt;=$C52+1, (-FV(InflationRate,$AW$7,,$E52)), 0)),0)</f>
        <v>0</v>
      </c>
      <c r="AY52" s="149">
        <f>IF($C52&gt;0,(IF($AW$7&gt;=$C52+1, (-FV(InflationRate,$AW$7,,$F52)), 0)),0)</f>
        <v>0</v>
      </c>
      <c r="AZ52" s="157">
        <f>IF($C52&gt;0,(IF($AW$7&gt;=$C52+1, (-FV(InflationRate,$AW$7,,$G52)), 0)),0)</f>
        <v>0</v>
      </c>
      <c r="BA52" s="160">
        <f>IF($C52&gt;0,(IF($C52=$BA$7,(-FV(InflationRate,$BA$7,,$D52)),0)),0)</f>
        <v>0</v>
      </c>
      <c r="BB52" s="150">
        <f>IF($C52&gt;0,(IF($BA$7&gt;=$C52+1, (-FV(InflationRate,$BA$7,,$E52)), 0)),0)</f>
        <v>0</v>
      </c>
      <c r="BC52" s="150">
        <f>IF($C52&gt;0,(IF($BA$7&gt;=$C52+1, (-FV(InflationRate,$BA$7,,$F52)), 0)),0)</f>
        <v>0</v>
      </c>
      <c r="BD52" s="176">
        <f>IF($C52&gt;0,(IF($BA$7&gt;=$C52+1, (-FV(InflationRate,$BA$7,,$G52)), 0)),0)</f>
        <v>0</v>
      </c>
      <c r="BE52" s="168">
        <f>IF($C52&gt;0,(IF($C52=$BE$7,(-FV(InflationRate,$BE$7,,$D52)),0)),0)</f>
        <v>0</v>
      </c>
      <c r="BF52" s="149">
        <f>IF($C52&gt;0,(IF($BE$7&gt;=$C52+1, (-FV(InflationRate,$BE$7,,$E52)), 0)),0)</f>
        <v>0</v>
      </c>
      <c r="BG52" s="149">
        <f>IF($C52&gt;0,(IF($BE$7&gt;=$C52+1, (-FV(InflationRate,$BE$7,,$F52)), 0)),0)</f>
        <v>0</v>
      </c>
      <c r="BH52" s="171">
        <f>IF($C52&gt;0,(IF($BE$7&gt;=$C52+1, (-FV(InflationRate,$BE$7,,$G52)), 0)),0)</f>
        <v>0</v>
      </c>
      <c r="BI52" s="160">
        <f>IF($C52&gt;0,(IF($C52=$BI$7,(-FV(InflationRate,$BI$7,,$D52)),0)),0)</f>
        <v>0</v>
      </c>
      <c r="BJ52" s="150">
        <f>IF($C52&gt;0,(IF($BI$7&gt;=$C52+1, (-FV(InflationRate,$BI$7,,$E52)), 0)),0)</f>
        <v>0</v>
      </c>
      <c r="BK52" s="150">
        <f>IF($C52&gt;0,(IF($BI$7&gt;=$C52+1, (-FV(InflationRate,$BI$7,,$F52)), 0)),0)</f>
        <v>0</v>
      </c>
      <c r="BL52" s="176">
        <f>IF($C52&gt;0,(IF($BI$7&gt;=$C52+1, (-FV(InflationRate,$BI$7,,$G52)), 0)),0)</f>
        <v>0</v>
      </c>
      <c r="BM52" s="168">
        <f>IF($C52&gt;0,(IF($C52=$BM$7,(-FV(InflationRate,$BM$7,,$D52)),0)),0)</f>
        <v>0</v>
      </c>
      <c r="BN52" s="149">
        <f>IF($C52&gt;0,(IF($BM$7&gt;=$C52+1, (-FV(InflationRate,$BM$7,,$E52)), 0)),0)</f>
        <v>0</v>
      </c>
      <c r="BO52" s="149">
        <f>IF($C52&gt;0,(IF($BM$7&gt;=$C52+1, (-FV(InflationRate,$BM$7,,$F52)), 0)),0)</f>
        <v>0</v>
      </c>
      <c r="BP52" s="157">
        <f>IF($C52&gt;0,(IF($BM$7&gt;=$C52+1, (-FV(InflationRate,$BM$7,,$G52)), 0)),0)</f>
        <v>0</v>
      </c>
      <c r="BQ52" s="160">
        <f>IF($C52&gt;0,(IF($C52=$BQ$7,(-FV(InflationRate,$BQ$7,,$D52)),0)),0)</f>
        <v>0</v>
      </c>
      <c r="BR52" s="150">
        <f>IF($C52&gt;0,(IF($BQ$7&gt;=$C52+1, (-FV(InflationRate,$BQ$7,,$E52)), 0)),0)</f>
        <v>0</v>
      </c>
      <c r="BS52" s="150">
        <f>IF($C52&gt;0,(IF($BQ$7&gt;=$C52+1, (-FV(InflationRate,$BQ$7,,$F52)), 0)),0)</f>
        <v>0</v>
      </c>
      <c r="BT52" s="176">
        <f>IF($C52&gt;0,(IF($BQ$7&gt;=$C52+1, (-FV(InflationRate,$BQ$7,,$G52)), 0)),0)</f>
        <v>0</v>
      </c>
      <c r="BU52" s="168">
        <f>IF($C52&gt;0,(IF($C52=$BU$7,(-FV(InflationRate,$BU$7,,$D52)),0)),0)</f>
        <v>0</v>
      </c>
      <c r="BV52" s="149">
        <f>IF($C52&gt;0,(IF($BU$7&gt;=$C52+1, (-FV(InflationRate,$BU$7,,$E52)), 0)),0)</f>
        <v>0</v>
      </c>
      <c r="BW52" s="149">
        <f>IF($C52&gt;0,(IF($BU$7&gt;=$C52+1, (-FV(InflationRate,$BU$7,,$F52)), 0)),0)</f>
        <v>0</v>
      </c>
      <c r="BX52" s="157">
        <f>IF($C52&gt;0,(IF($BU$7&gt;=$C52+1, (-FV(InflationRate,$BU$7,,$G52)), 0)),0)</f>
        <v>0</v>
      </c>
      <c r="BY52" s="160">
        <f>IF($C52&gt;0,(IF($C52=$BY$7,(-FV(InflationRate,$BY$7,,$D52)),0)),0)</f>
        <v>0</v>
      </c>
      <c r="BZ52" s="150">
        <f>IF($C52&gt;0,(IF($BY$7&gt;=$C52+1, (-FV(InflationRate,$BY$7,,$E52)), 0)),0)</f>
        <v>0</v>
      </c>
      <c r="CA52" s="150">
        <f>IF($C52&gt;0,(IF($BY$7&gt;=$C52+1, (-FV(InflationRate,$BY$7,,$F52)), 0)),0)</f>
        <v>0</v>
      </c>
      <c r="CB52" s="176">
        <f>IF($C52&gt;0,(IF($BY$7&gt;=$C52+1, (-FV(InflationRate,$BY$7,,$G52)), 0)),0)</f>
        <v>0</v>
      </c>
      <c r="CC52" s="168">
        <f>IF($C52&gt;0,(IF($C52=$CC$7,(-FV(InflationRate,$CC$7,,$D52)),0)),0)</f>
        <v>0</v>
      </c>
      <c r="CD52" s="149">
        <f>IF($C52&gt;0,(IF($CC$7&gt;=$C52+1, (-FV(InflationRate,$CC$7,,$E52)), 0)),0)</f>
        <v>0</v>
      </c>
      <c r="CE52" s="149">
        <f>IF($C52&gt;0,(IF($CC$7&gt;=$C52+1, (-FV(InflationRate,$CC$7,,$F52)), 0)),0)</f>
        <v>0</v>
      </c>
      <c r="CF52" s="157">
        <f>IF($C52&gt;0,(IF($CC$7&gt;=$C52+1, (-FV(InflationRate,$CC$7,,$G52)), 0)),0)</f>
        <v>0</v>
      </c>
      <c r="CG52" s="160">
        <f>IF($C52&gt;0,(IF($C52=$CG$7,(-FV(InflationRate,$CG$7,,$D52)),0)),0)</f>
        <v>0</v>
      </c>
      <c r="CH52" s="150">
        <f>IF($C52&gt;0,(IF($CG$7&gt;=$C52+1, (-FV(InflationRate,$CG$7,,$E52)), 0)),0)</f>
        <v>0</v>
      </c>
      <c r="CI52" s="150">
        <f>IF($C52&gt;0,(IF($CG$7&gt;=$C52+1, (-FV(InflationRate,$CG$7,,$F52)), 0)),0)</f>
        <v>0</v>
      </c>
      <c r="CJ52" s="176">
        <f>IF($C52&gt;0,(IF($CG$7&gt;=$C52+1, (-FV(InflationRate,$CG$7,,$G52)), 0)),0)</f>
        <v>0</v>
      </c>
      <c r="CK52" s="168">
        <f>IF($C52&gt;0,(IF($C52=$CK$7,(-FV(InflationRate,$CK$7,,$D52)),0)),0)</f>
        <v>0</v>
      </c>
      <c r="CL52" s="149">
        <f>IF($C52&gt;0,(IF($CK$7&gt;=$C52+1, (-FV(InflationRate,$CK$7,,$E52)), 0)),0)</f>
        <v>0</v>
      </c>
      <c r="CM52" s="149">
        <f>IF($C52&gt;0,(IF($CK$7&gt;=$C52+1, (-FV(InflationRate,$CK$7,,$F52)), 0)),0)</f>
        <v>0</v>
      </c>
      <c r="CN52" s="157">
        <f>IF($C52&gt;0,(IF($CK$7&gt;=$C52+1, (-FV(InflationRate,$CK$7,,$G52)), 0)),0)</f>
        <v>0</v>
      </c>
      <c r="CO52" s="160">
        <f>IF($C52&gt;0,(IF($C52=$CO$7,(-FV(InflationRate,$CO$7,,$D52)),0)),0)</f>
        <v>0</v>
      </c>
      <c r="CP52" s="150">
        <f>IF($C52&gt;0,(IF($CO$7&gt;=$C52+1, (-FV(InflationRate,$CO$7,,$E52)), 0)),0)</f>
        <v>0</v>
      </c>
      <c r="CQ52" s="150">
        <f>IF($C52&gt;0,(IF($CO$7&gt;=$C52+1, (-FV(InflationRate,$CO$7,,$F52)), 0)),0)</f>
        <v>0</v>
      </c>
      <c r="CR52" s="176">
        <f>IF($C52&gt;0,(IF($CO$7&gt;=$C52+1, (-FV(InflationRate,$CO$7,,$G52)), 0)),0)</f>
        <v>0</v>
      </c>
      <c r="CS52" s="168">
        <f>IF($C52&gt;0,(IF($C52=$CS$7,(-FV(InflationRate,$CS$7,,$D52)),0)),0)</f>
        <v>0</v>
      </c>
      <c r="CT52" s="149">
        <f>IF($C52&gt;0,(IF($CS$7&gt;=$C52+1, (-FV(InflationRate,$CS$7,,$E52)), 0)),0)</f>
        <v>0</v>
      </c>
      <c r="CU52" s="149">
        <f>IF($C52&gt;0,(IF($CS$7&gt;=$C52+1, (-FV(InflationRate,$CS$7,,$F52)), 0)),0)</f>
        <v>0</v>
      </c>
      <c r="CV52" s="157">
        <f>IF($C52&gt;0,(IF($CS$7&gt;=$C52+1, (-FV(InflationRate,$CS$7,,$G52)), 0)),0)</f>
        <v>0</v>
      </c>
      <c r="CW52" s="160">
        <f>IF($C52&gt;0,(IF($C52=$CW$7,(-FV(InflationRate,$CW$7,,$D52)),0)),0)</f>
        <v>0</v>
      </c>
      <c r="CX52" s="150">
        <f>IF($C52&gt;0,(IF($CW$7&gt;=$C52+1, (-FV(InflationRate,$CW$7,,$E52)), 0)),0)</f>
        <v>0</v>
      </c>
      <c r="CY52" s="150">
        <f>IF($C52&gt;0,(IF($CW$7&gt;=$C52+1, (-FV(InflationRate,$CW$7,,$F52)), 0)),0)</f>
        <v>0</v>
      </c>
      <c r="CZ52" s="176">
        <f>IF($C52&gt;0,(IF($CW$7&gt;=$C52+1, (-FV(InflationRate,$CW$7,,$G52)), 0)),0)</f>
        <v>0</v>
      </c>
      <c r="DA52" s="168">
        <f>IF($C52&gt;0,(IF($C52=$DA$7,(-FV(InflationRate,$DA$7,,$D52)),0)),0)</f>
        <v>0</v>
      </c>
      <c r="DB52" s="149">
        <f>IF($C52&gt;0,(IF($DA$7&gt;=$C52+1, (-FV(InflationRate,$DA$7,,$E52)), 0)),0)</f>
        <v>0</v>
      </c>
      <c r="DC52" s="149">
        <f>IF($C52&gt;0,(IF($DA$7&gt;=$C52+1, (-FV(InflationRate,$DA$7,,$F52)), 0)),0)</f>
        <v>0</v>
      </c>
      <c r="DD52" s="157">
        <f>IF($C52&gt;0,(IF($DA$7&gt;=$C52+1, (-FV(InflationRate,$DA$7,,$G52)), 0)),0)</f>
        <v>0</v>
      </c>
    </row>
    <row r="53" spans="2:108" ht="12.75" customHeight="1" x14ac:dyDescent="0.2">
      <c r="B53" s="182" t="s">
        <v>216</v>
      </c>
      <c r="C53" s="189"/>
      <c r="D53" s="168"/>
      <c r="E53" s="149"/>
      <c r="F53" s="149"/>
      <c r="G53" s="149"/>
      <c r="H53" s="168"/>
      <c r="I53" s="600"/>
      <c r="J53" s="600"/>
      <c r="K53" s="600"/>
      <c r="L53" s="600"/>
      <c r="M53" s="600"/>
      <c r="N53" s="600"/>
      <c r="O53" s="600"/>
      <c r="P53" s="600"/>
      <c r="Q53" s="600"/>
      <c r="R53" s="600"/>
      <c r="S53" s="600"/>
      <c r="T53" s="600"/>
      <c r="U53" s="600"/>
      <c r="V53" s="600"/>
      <c r="W53" s="600"/>
      <c r="X53" s="600"/>
      <c r="Y53" s="600"/>
      <c r="Z53" s="600"/>
      <c r="AA53" s="600"/>
      <c r="AB53" s="601"/>
      <c r="AC53" s="160"/>
      <c r="AD53" s="150"/>
      <c r="AE53" s="150"/>
      <c r="AF53" s="165"/>
      <c r="AG53" s="168"/>
      <c r="AH53" s="149"/>
      <c r="AI53" s="149"/>
      <c r="AJ53" s="171"/>
      <c r="AK53" s="160"/>
      <c r="AL53" s="150"/>
      <c r="AM53" s="150"/>
      <c r="AN53" s="165"/>
      <c r="AO53" s="168"/>
      <c r="AP53" s="149"/>
      <c r="AQ53" s="149"/>
      <c r="AR53" s="157"/>
      <c r="AS53" s="160"/>
      <c r="AT53" s="150"/>
      <c r="AU53" s="150"/>
      <c r="AV53" s="165"/>
      <c r="AW53" s="168"/>
      <c r="AX53" s="149"/>
      <c r="AY53" s="149"/>
      <c r="AZ53" s="157"/>
      <c r="BA53" s="160"/>
      <c r="BB53" s="150"/>
      <c r="BC53" s="150"/>
      <c r="BD53" s="176"/>
      <c r="BE53" s="168"/>
      <c r="BF53" s="149"/>
      <c r="BG53" s="149"/>
      <c r="BH53" s="171"/>
      <c r="BI53" s="160"/>
      <c r="BJ53" s="150"/>
      <c r="BK53" s="150"/>
      <c r="BL53" s="176"/>
      <c r="BM53" s="168"/>
      <c r="BN53" s="149"/>
      <c r="BO53" s="149"/>
      <c r="BP53" s="157"/>
      <c r="BQ53" s="160"/>
      <c r="BR53" s="150"/>
      <c r="BS53" s="150"/>
      <c r="BT53" s="176"/>
      <c r="BU53" s="168"/>
      <c r="BV53" s="149"/>
      <c r="BW53" s="149"/>
      <c r="BX53" s="157"/>
      <c r="BY53" s="160"/>
      <c r="BZ53" s="150"/>
      <c r="CA53" s="150"/>
      <c r="CB53" s="176"/>
      <c r="CC53" s="168"/>
      <c r="CD53" s="149"/>
      <c r="CE53" s="149"/>
      <c r="CF53" s="157"/>
      <c r="CG53" s="160"/>
      <c r="CH53" s="150"/>
      <c r="CI53" s="150"/>
      <c r="CJ53" s="176"/>
      <c r="CK53" s="168"/>
      <c r="CL53" s="149"/>
      <c r="CM53" s="149"/>
      <c r="CN53" s="157"/>
      <c r="CO53" s="160"/>
      <c r="CP53" s="150"/>
      <c r="CQ53" s="150"/>
      <c r="CR53" s="176"/>
      <c r="CS53" s="168"/>
      <c r="CT53" s="149"/>
      <c r="CU53" s="149"/>
      <c r="CV53" s="157"/>
      <c r="CW53" s="160"/>
      <c r="CX53" s="150"/>
      <c r="CY53" s="150"/>
      <c r="CZ53" s="176"/>
      <c r="DA53" s="168"/>
      <c r="DB53" s="149"/>
      <c r="DC53" s="149"/>
      <c r="DD53" s="157"/>
    </row>
    <row r="54" spans="2:108" ht="12.75" customHeight="1" x14ac:dyDescent="0.2">
      <c r="B54" s="183" t="s">
        <v>516</v>
      </c>
      <c r="C54" s="556">
        <v>2</v>
      </c>
      <c r="D54" s="557">
        <f>300300*0.75</f>
        <v>225225</v>
      </c>
      <c r="E54" s="149"/>
      <c r="F54" s="149"/>
      <c r="G54" s="149"/>
      <c r="H54" s="168">
        <f>SUM(I54:AB54)</f>
        <v>231931.08544250048</v>
      </c>
      <c r="I54" s="610">
        <f>-PV(InterestRate,I$8,,(SUM(AC54:AF54)))</f>
        <v>0</v>
      </c>
      <c r="J54" s="610">
        <f>-PV(InterestRate,J$8,,(SUM(AG54:AJ54)))</f>
        <v>231931.08544250048</v>
      </c>
      <c r="K54" s="610">
        <f>-PV(InterestRate,K$8,,(SUM(AK54:AN54)))</f>
        <v>0</v>
      </c>
      <c r="L54" s="610">
        <f>-PV(InterestRate,L$8,,(SUM(AO54:AR54)))</f>
        <v>0</v>
      </c>
      <c r="M54" s="610">
        <f>-PV(InterestRate,M$8,,(SUM(AS54:AV54)))</f>
        <v>0</v>
      </c>
      <c r="N54" s="610">
        <f>-PV(InterestRate,N$8,,(SUM(AW54:AZ54)))</f>
        <v>0</v>
      </c>
      <c r="O54" s="610">
        <f>-PV(InterestRate,O$8,,(SUM(BA54:BD54)))</f>
        <v>0</v>
      </c>
      <c r="P54" s="610">
        <f>-PV(InterestRate,P$8,,(SUM(BE54:BH54)))</f>
        <v>0</v>
      </c>
      <c r="Q54" s="610">
        <f>-PV(InterestRate,Q$8,,(SUM(BI54:BL54)))</f>
        <v>0</v>
      </c>
      <c r="R54" s="610">
        <f>-PV(InterestRate,R$8,,(SUM(BM54:BP54)))</f>
        <v>0</v>
      </c>
      <c r="S54" s="610">
        <f>-PV(InterestRate,S$8,,(SUM(BQ54:BT54)))</f>
        <v>0</v>
      </c>
      <c r="T54" s="610">
        <f>-PV(InterestRate,T$8,,(SUM(BU54:BX54)))</f>
        <v>0</v>
      </c>
      <c r="U54" s="610">
        <f>-PV(InterestRate,U$8,,(SUM(BY54:CB54)))</f>
        <v>0</v>
      </c>
      <c r="V54" s="610">
        <f>-PV(InterestRate,V$8,,(SUM(CC54:CF54)))</f>
        <v>0</v>
      </c>
      <c r="W54" s="610">
        <f>-PV(InterestRate,W$8,,(SUM(CG54:CJ54)))</f>
        <v>0</v>
      </c>
      <c r="X54" s="610">
        <f>-PV(InterestRate,X$8,,(SUM(CK54:CN54)))</f>
        <v>0</v>
      </c>
      <c r="Y54" s="610">
        <f>-PV(InterestRate,Y$8,,(SUM(CO54:CR54)))</f>
        <v>0</v>
      </c>
      <c r="Z54" s="610">
        <f>-PV(InterestRate,Z$8,,(SUM(CS54:CV54)))</f>
        <v>0</v>
      </c>
      <c r="AA54" s="610">
        <f>-PV(InterestRate,AA$8,,(SUM(CW54:CZ54)))</f>
        <v>0</v>
      </c>
      <c r="AB54" s="611">
        <f>-PV(InterestRate,AB$8,,(SUM(DA54:DD54)))</f>
        <v>0</v>
      </c>
      <c r="AC54" s="160">
        <f>IF($C54&gt;0,(IF($C54=$AC$7,$D54,0)),0)</f>
        <v>0</v>
      </c>
      <c r="AD54" s="150">
        <f>IF($C54&gt;0,(IF($AC$7&gt;=$C54+1,$E54,0)),0)</f>
        <v>0</v>
      </c>
      <c r="AE54" s="150">
        <f>IF($C54&gt;0,(IF($C54=$AC$7,$F54,0)),0)</f>
        <v>0</v>
      </c>
      <c r="AF54" s="165">
        <f>IF($C54&gt;0,(IF($AC$7&gt;=$C54+1,$G54,0)),0)</f>
        <v>0</v>
      </c>
      <c r="AG54" s="168">
        <f>IF($C54&gt;0,(IF($C54=$AG$7,(-FV(InflationRate,$AG$7,,$D54)),0)),0)</f>
        <v>238941.20249999998</v>
      </c>
      <c r="AH54" s="149">
        <f>IF($C54&gt;0,(IF($AG$7&gt;=$C54+1, (-FV(InflationRate,$AG$7,,$E54)), 0)),0)</f>
        <v>0</v>
      </c>
      <c r="AI54" s="149">
        <f>IF($C54&gt;0,(IF($AG$7&gt;=$C54+1, (-FV(InflationRate,$AG$7,,$F54)), 0)),0)</f>
        <v>0</v>
      </c>
      <c r="AJ54" s="171">
        <f>IF($C54&gt;0,(IF($AG$7&gt;=$C54+1, (-FV(InflationRate,$AG$7,,$G54)), 0)),0)</f>
        <v>0</v>
      </c>
      <c r="AK54" s="160">
        <f>IF($C54&gt;0,(IF($C54=$AK$7,(-FV(InflationRate,$AK$7,,$D54)),0)),0)</f>
        <v>0</v>
      </c>
      <c r="AL54" s="150">
        <f>IF($C54&gt;0,(IF($AK$7&gt;=$C54+1, (-FV(InflationRate,$AK$7,,$E54)), 0)),0)</f>
        <v>0</v>
      </c>
      <c r="AM54" s="150">
        <f>IF($C54&gt;0,(IF($AK$7&gt;=$C54+1, (-FV(InflationRate,$AK$7,,$F54)), 0)),0)</f>
        <v>0</v>
      </c>
      <c r="AN54" s="165">
        <f>IF($C54&gt;0,(IF($AK$7&gt;=$C54+1, (-FV(InflationRate,$AK$7,,$G54)), 0)),0)</f>
        <v>0</v>
      </c>
      <c r="AO54" s="168">
        <f>IF($C54&gt;0,(IF($C54=$AO$7,(-FV(InflationRate,$AO$7,,$D54)),0)),0)</f>
        <v>0</v>
      </c>
      <c r="AP54" s="149">
        <f>IF($C54&gt;0,(IF($AO$7&gt;=$C54+1, (-FV(InflationRate,$AO$7,,$E54)), 0)),0)</f>
        <v>0</v>
      </c>
      <c r="AQ54" s="149">
        <f>IF($C54&gt;0,(IF($AO$7&gt;=$C54+1, (-FV(InflationRate,$AO$7,,$F54)), 0)),0)</f>
        <v>0</v>
      </c>
      <c r="AR54" s="157">
        <f>IF($C54&gt;0,(IF($AO$7&gt;=$C54+1, (-FV(InflationRate,$AO$7,,$G54)), 0)),0)</f>
        <v>0</v>
      </c>
      <c r="AS54" s="160">
        <f>IF($C54&gt;0,(IF($C54=$AS$7,(-FV(InflationRate,$AS$7,,$D54)),0)),0)</f>
        <v>0</v>
      </c>
      <c r="AT54" s="150">
        <f>IF($C54&gt;0,(IF($AS$7&gt;=$C54+1, (-FV(InflationRate,$AS$7,,$E54)), 0)),0)</f>
        <v>0</v>
      </c>
      <c r="AU54" s="150">
        <f>IF($C54&gt;0,(IF($AS$7&gt;=$C54+1, (-FV(InflationRate,$AS$7,,$F54)), 0)),0)</f>
        <v>0</v>
      </c>
      <c r="AV54" s="165">
        <f>IF($C54&gt;0,(IF($AS$7&gt;=$C54+1, (-FV(InflationRate,$AS$7,,$G54)), 0)),0)</f>
        <v>0</v>
      </c>
      <c r="AW54" s="168">
        <f>IF($C54&gt;0,(IF($C54=$AW$7,(-FV(InflationRate,$AW$7,,$D54)),0)),0)</f>
        <v>0</v>
      </c>
      <c r="AX54" s="149">
        <f>IF($C54&gt;0,(IF($AW$7&gt;=$C54+1, (-FV(InflationRate,$AW$7,,$E54)), 0)),0)</f>
        <v>0</v>
      </c>
      <c r="AY54" s="149">
        <f>IF($C54&gt;0,(IF($AW$7&gt;=$C54+1, (-FV(InflationRate,$AW$7,,$F54)), 0)),0)</f>
        <v>0</v>
      </c>
      <c r="AZ54" s="157">
        <f>IF($C54&gt;0,(IF($AW$7&gt;=$C54+1, (-FV(InflationRate,$AW$7,,$G54)), 0)),0)</f>
        <v>0</v>
      </c>
      <c r="BA54" s="160">
        <f>IF($C54&gt;0,(IF($C54=$BA$7,(-FV(InflationRate,$BA$7,,$D54)),0)),0)</f>
        <v>0</v>
      </c>
      <c r="BB54" s="150">
        <f>IF($C54&gt;0,(IF($BA$7&gt;=$C54+1, (-FV(InflationRate,$BA$7,,$E54)), 0)),0)</f>
        <v>0</v>
      </c>
      <c r="BC54" s="150">
        <f>IF($C54&gt;0,(IF($BA$7&gt;=$C54+1, (-FV(InflationRate,$BA$7,,$F54)), 0)),0)</f>
        <v>0</v>
      </c>
      <c r="BD54" s="176">
        <f>IF($C54&gt;0,(IF($BA$7&gt;=$C54+1, (-FV(InflationRate,$BA$7,,$G54)), 0)),0)</f>
        <v>0</v>
      </c>
      <c r="BE54" s="168">
        <f>IF($C54&gt;0,(IF($C54=$BE$7,(-FV(InflationRate,$BE$7,,$D54)),0)),0)</f>
        <v>0</v>
      </c>
      <c r="BF54" s="149">
        <f>IF($C54&gt;0,(IF($BE$7&gt;=$C54+1, (-FV(InflationRate,$BE$7,,$E54)), 0)),0)</f>
        <v>0</v>
      </c>
      <c r="BG54" s="149">
        <f>IF($C54&gt;0,(IF($BE$7&gt;=$C54+1, (-FV(InflationRate,$BE$7,,$F54)), 0)),0)</f>
        <v>0</v>
      </c>
      <c r="BH54" s="171">
        <f>IF($C54&gt;0,(IF($BE$7&gt;=$C54+1, (-FV(InflationRate,$BE$7,,$G54)), 0)),0)</f>
        <v>0</v>
      </c>
      <c r="BI54" s="160">
        <f>IF($C54&gt;0,(IF($C54=$BI$7,(-FV(InflationRate,$BI$7,,$D54)),0)),0)</f>
        <v>0</v>
      </c>
      <c r="BJ54" s="150">
        <f>IF($C54&gt;0,(IF($BI$7&gt;=$C54+1, (-FV(InflationRate,$BI$7,,$E54)), 0)),0)</f>
        <v>0</v>
      </c>
      <c r="BK54" s="150">
        <f>IF($C54&gt;0,(IF($BI$7&gt;=$C54+1, (-FV(InflationRate,$BI$7,,$F54)), 0)),0)</f>
        <v>0</v>
      </c>
      <c r="BL54" s="176">
        <f>IF($C54&gt;0,(IF($BI$7&gt;=$C54+1, (-FV(InflationRate,$BI$7,,$G54)), 0)),0)</f>
        <v>0</v>
      </c>
      <c r="BM54" s="168">
        <f>IF($C54&gt;0,(IF($C54=$BM$7,(-FV(InflationRate,$BM$7,,$D54)),0)),0)</f>
        <v>0</v>
      </c>
      <c r="BN54" s="149">
        <f>IF($C54&gt;0,(IF($BM$7&gt;=$C54+1, (-FV(InflationRate,$BM$7,,$E54)), 0)),0)</f>
        <v>0</v>
      </c>
      <c r="BO54" s="149">
        <f>IF($C54&gt;0,(IF($BM$7&gt;=$C54+1, (-FV(InflationRate,$BM$7,,$F54)), 0)),0)</f>
        <v>0</v>
      </c>
      <c r="BP54" s="157">
        <f>IF($C54&gt;0,(IF($BM$7&gt;=$C54+1, (-FV(InflationRate,$BM$7,,$G54)), 0)),0)</f>
        <v>0</v>
      </c>
      <c r="BQ54" s="160">
        <f>IF($C54&gt;0,(IF($C54=$BQ$7,(-FV(InflationRate,$BQ$7,,$D54)),0)),0)</f>
        <v>0</v>
      </c>
      <c r="BR54" s="150">
        <f>IF($C54&gt;0,(IF($BQ$7&gt;=$C54+1, (-FV(InflationRate,$BQ$7,,$E54)), 0)),0)</f>
        <v>0</v>
      </c>
      <c r="BS54" s="150">
        <f>IF($C54&gt;0,(IF($BQ$7&gt;=$C54+1, (-FV(InflationRate,$BQ$7,,$F54)), 0)),0)</f>
        <v>0</v>
      </c>
      <c r="BT54" s="176">
        <f>IF($C54&gt;0,(IF($BQ$7&gt;=$C54+1, (-FV(InflationRate,$BQ$7,,$G54)), 0)),0)</f>
        <v>0</v>
      </c>
      <c r="BU54" s="168">
        <f>IF($C54&gt;0,(IF($C54=$BU$7,(-FV(InflationRate,$BU$7,,$D54)),0)),0)</f>
        <v>0</v>
      </c>
      <c r="BV54" s="149">
        <f>IF($C54&gt;0,(IF($BU$7&gt;=$C54+1, (-FV(InflationRate,$BU$7,,$E54)), 0)),0)</f>
        <v>0</v>
      </c>
      <c r="BW54" s="149">
        <f>IF($C54&gt;0,(IF($BU$7&gt;=$C54+1, (-FV(InflationRate,$BU$7,,$F54)), 0)),0)</f>
        <v>0</v>
      </c>
      <c r="BX54" s="157">
        <f>IF($C54&gt;0,(IF($BU$7&gt;=$C54+1, (-FV(InflationRate,$BU$7,,$G54)), 0)),0)</f>
        <v>0</v>
      </c>
      <c r="BY54" s="160">
        <f>IF($C54&gt;0,(IF($C54=$BY$7,(-FV(InflationRate,$BY$7,,$D54)),0)),0)</f>
        <v>0</v>
      </c>
      <c r="BZ54" s="150">
        <f>IF($C54&gt;0,(IF($BY$7&gt;=$C54+1, (-FV(InflationRate,$BY$7,,$E54)), 0)),0)</f>
        <v>0</v>
      </c>
      <c r="CA54" s="150">
        <f>IF($C54&gt;0,(IF($BY$7&gt;=$C54+1, (-FV(InflationRate,$BY$7,,$F54)), 0)),0)</f>
        <v>0</v>
      </c>
      <c r="CB54" s="176">
        <f>IF($C54&gt;0,(IF($BY$7&gt;=$C54+1, (-FV(InflationRate,$BY$7,,$G54)), 0)),0)</f>
        <v>0</v>
      </c>
      <c r="CC54" s="168">
        <f>IF($C54&gt;0,(IF($C54=$CC$7,(-FV(InflationRate,$CC$7,,$D54)),0)),0)</f>
        <v>0</v>
      </c>
      <c r="CD54" s="149">
        <f>IF($C54&gt;0,(IF($CC$7&gt;=$C54+1, (-FV(InflationRate,$CC$7,,$E54)), 0)),0)</f>
        <v>0</v>
      </c>
      <c r="CE54" s="149">
        <f>IF($C54&gt;0,(IF($CC$7&gt;=$C54+1, (-FV(InflationRate,$CC$7,,$F54)), 0)),0)</f>
        <v>0</v>
      </c>
      <c r="CF54" s="157">
        <f>IF($C54&gt;0,(IF($CC$7&gt;=$C54+1, (-FV(InflationRate,$CC$7,,$G54)), 0)),0)</f>
        <v>0</v>
      </c>
      <c r="CG54" s="160">
        <f>IF($C54&gt;0,(IF($C54=$CG$7,(-FV(InflationRate,$CG$7,,$D54)),0)),0)</f>
        <v>0</v>
      </c>
      <c r="CH54" s="150">
        <f>IF($C54&gt;0,(IF($CG$7&gt;=$C54+1, (-FV(InflationRate,$CG$7,,$E54)), 0)),0)</f>
        <v>0</v>
      </c>
      <c r="CI54" s="150">
        <f>IF($C54&gt;0,(IF($CG$7&gt;=$C54+1, (-FV(InflationRate,$CG$7,,$F54)), 0)),0)</f>
        <v>0</v>
      </c>
      <c r="CJ54" s="176">
        <f>IF($C54&gt;0,(IF($CG$7&gt;=$C54+1, (-FV(InflationRate,$CG$7,,$G54)), 0)),0)</f>
        <v>0</v>
      </c>
      <c r="CK54" s="168">
        <f>IF($C54&gt;0,(IF($C54=$CK$7,(-FV(InflationRate,$CK$7,,$D54)),0)),0)</f>
        <v>0</v>
      </c>
      <c r="CL54" s="149">
        <f>IF($C54&gt;0,(IF($CK$7&gt;=$C54+1, (-FV(InflationRate,$CK$7,,$E54)), 0)),0)</f>
        <v>0</v>
      </c>
      <c r="CM54" s="149">
        <f>IF($C54&gt;0,(IF($CK$7&gt;=$C54+1, (-FV(InflationRate,$CK$7,,$F54)), 0)),0)</f>
        <v>0</v>
      </c>
      <c r="CN54" s="157">
        <f>IF($C54&gt;0,(IF($CK$7&gt;=$C54+1, (-FV(InflationRate,$CK$7,,$G54)), 0)),0)</f>
        <v>0</v>
      </c>
      <c r="CO54" s="160">
        <f>IF($C54&gt;0,(IF($C54=$CO$7,(-FV(InflationRate,$CO$7,,$D54)),0)),0)</f>
        <v>0</v>
      </c>
      <c r="CP54" s="150">
        <f>IF($C54&gt;0,(IF($CO$7&gt;=$C54+1, (-FV(InflationRate,$CO$7,,$E54)), 0)),0)</f>
        <v>0</v>
      </c>
      <c r="CQ54" s="150">
        <f>IF($C54&gt;0,(IF($CO$7&gt;=$C54+1, (-FV(InflationRate,$CO$7,,$F54)), 0)),0)</f>
        <v>0</v>
      </c>
      <c r="CR54" s="176">
        <f>IF($C54&gt;0,(IF($CO$7&gt;=$C54+1, (-FV(InflationRate,$CO$7,,$G54)), 0)),0)</f>
        <v>0</v>
      </c>
      <c r="CS54" s="168">
        <f>IF($C54&gt;0,(IF($C54=$CS$7,(-FV(InflationRate,$CS$7,,$D54)),0)),0)</f>
        <v>0</v>
      </c>
      <c r="CT54" s="149">
        <f>IF($C54&gt;0,(IF($CS$7&gt;=$C54+1, (-FV(InflationRate,$CS$7,,$E54)), 0)),0)</f>
        <v>0</v>
      </c>
      <c r="CU54" s="149">
        <f>IF($C54&gt;0,(IF($CS$7&gt;=$C54+1, (-FV(InflationRate,$CS$7,,$F54)), 0)),0)</f>
        <v>0</v>
      </c>
      <c r="CV54" s="157">
        <f>IF($C54&gt;0,(IF($CS$7&gt;=$C54+1, (-FV(InflationRate,$CS$7,,$G54)), 0)),0)</f>
        <v>0</v>
      </c>
      <c r="CW54" s="160">
        <f>IF($C54&gt;0,(IF($C54=$CW$7,(-FV(InflationRate,$CW$7,,$D54)),0)),0)</f>
        <v>0</v>
      </c>
      <c r="CX54" s="150">
        <f>IF($C54&gt;0,(IF($CW$7&gt;=$C54+1, (-FV(InflationRate,$CW$7,,$E54)), 0)),0)</f>
        <v>0</v>
      </c>
      <c r="CY54" s="150">
        <f>IF($C54&gt;0,(IF($CW$7&gt;=$C54+1, (-FV(InflationRate,$CW$7,,$F54)), 0)),0)</f>
        <v>0</v>
      </c>
      <c r="CZ54" s="176">
        <f>IF($C54&gt;0,(IF($CW$7&gt;=$C54+1, (-FV(InflationRate,$CW$7,,$G54)), 0)),0)</f>
        <v>0</v>
      </c>
      <c r="DA54" s="168">
        <f>IF($C54&gt;0,(IF($C54=$DA$7,(-FV(InflationRate,$DA$7,,$D54)),0)),0)</f>
        <v>0</v>
      </c>
      <c r="DB54" s="149">
        <f>IF($C54&gt;0,(IF($DA$7&gt;=$C54+1, (-FV(InflationRate,$DA$7,,$E54)), 0)),0)</f>
        <v>0</v>
      </c>
      <c r="DC54" s="149">
        <f>IF($C54&gt;0,(IF($DA$7&gt;=$C54+1, (-FV(InflationRate,$DA$7,,$F54)), 0)),0)</f>
        <v>0</v>
      </c>
      <c r="DD54" s="157">
        <f>IF($C54&gt;0,(IF($DA$7&gt;=$C54+1, (-FV(InflationRate,$DA$7,,$G54)), 0)),0)</f>
        <v>0</v>
      </c>
    </row>
    <row r="55" spans="2:108" ht="12.75" customHeight="1" x14ac:dyDescent="0.2">
      <c r="B55" s="183" t="s">
        <v>270</v>
      </c>
      <c r="C55" s="556">
        <v>3</v>
      </c>
      <c r="D55" s="557">
        <v>2601900</v>
      </c>
      <c r="E55" s="558">
        <v>11300</v>
      </c>
      <c r="F55" s="149"/>
      <c r="G55" s="558">
        <v>10800</v>
      </c>
      <c r="H55" s="168">
        <f>SUM(I55:AB55)</f>
        <v>3168144.1774176937</v>
      </c>
      <c r="I55" s="610">
        <f>-PV(InterestRate,I$8,,(SUM(AC55:AF55)))</f>
        <v>0</v>
      </c>
      <c r="J55" s="610">
        <f>-PV(InterestRate,J$8,,(SUM(AG55:AJ55)))</f>
        <v>0</v>
      </c>
      <c r="K55" s="610">
        <f>-PV(InterestRate,K$8,,(SUM(AK55:AN55)))</f>
        <v>2718968.3264703653</v>
      </c>
      <c r="L55" s="610">
        <f>-PV(InterestRate,L$8,,(SUM(AO55:AR55)))</f>
        <v>23435.650005460175</v>
      </c>
      <c r="M55" s="610">
        <f>-PV(InterestRate,M$8,,(SUM(AS55:AV55)))</f>
        <v>23781.98966071328</v>
      </c>
      <c r="N55" s="610">
        <f>-PV(InterestRate,N$8,,(SUM(AW55:AZ55)))</f>
        <v>24133.447635994766</v>
      </c>
      <c r="O55" s="610">
        <f>-PV(InterestRate,O$8,,(SUM(BA55:BD55)))</f>
        <v>24490.099571502084</v>
      </c>
      <c r="P55" s="610">
        <f>-PV(InterestRate,P$8,,(SUM(BE55:BH55)))</f>
        <v>24852.022225268123</v>
      </c>
      <c r="Q55" s="610">
        <f>-PV(InterestRate,Q$8,,(SUM(BI55:BL55)))</f>
        <v>25219.293489680957</v>
      </c>
      <c r="R55" s="610">
        <f>-PV(InterestRate,R$8,,(SUM(BM55:BP55)))</f>
        <v>25591.992408247675</v>
      </c>
      <c r="S55" s="610">
        <f>-PV(InterestRate,S$8,,(SUM(BQ55:BT55)))</f>
        <v>25970.199192606015</v>
      </c>
      <c r="T55" s="610">
        <f>-PV(InterestRate,T$8,,(SUM(BU55:BX55)))</f>
        <v>26353.995239787389</v>
      </c>
      <c r="U55" s="610">
        <f>-PV(InterestRate,U$8,,(SUM(BY55:CB55)))</f>
        <v>26743.463149734984</v>
      </c>
      <c r="V55" s="610">
        <f>-PV(InterestRate,V$8,,(SUM(CC55:CF55)))</f>
        <v>27138.686743080831</v>
      </c>
      <c r="W55" s="610">
        <f>-PV(InterestRate,W$8,,(SUM(CG55:CJ55)))</f>
        <v>27539.751079185484</v>
      </c>
      <c r="X55" s="610">
        <f>-PV(InterestRate,X$8,,(SUM(CK55:CN55)))</f>
        <v>27946.742474444378</v>
      </c>
      <c r="Y55" s="610">
        <f>-PV(InterestRate,Y$8,,(SUM(CO55:CR55)))</f>
        <v>28359.748520864745</v>
      </c>
      <c r="Z55" s="610">
        <f>-PV(InterestRate,Z$8,,(SUM(CS55:CV55)))</f>
        <v>28778.858104916933</v>
      </c>
      <c r="AA55" s="610">
        <f>-PV(InterestRate,AA$8,,(SUM(CW55:CZ55)))</f>
        <v>29204.161426664472</v>
      </c>
      <c r="AB55" s="611">
        <f>-PV(InterestRate,AB$8,,(SUM(DA55:DD55)))</f>
        <v>29635.750019176769</v>
      </c>
      <c r="AC55" s="160">
        <f>IF($C55&gt;0,(IF($C55=$AC$7,$D55,0)),0)</f>
        <v>0</v>
      </c>
      <c r="AD55" s="150">
        <f>IF($C55&gt;0,(IF($AC$7&gt;=$C55+1,$E55,0)),0)</f>
        <v>0</v>
      </c>
      <c r="AE55" s="150">
        <f>IF($C55&gt;0,(IF($C55=$AC$7,$F55,0)),0)</f>
        <v>0</v>
      </c>
      <c r="AF55" s="165">
        <f>IF($C55&gt;0,(IF($AC$7&gt;=$C55+1,$G55,0)),0)</f>
        <v>0</v>
      </c>
      <c r="AG55" s="168">
        <f>IF($C55&gt;0,(IF($C55=$AG$7,(-FV(InflationRate,$AG$7,,$D55)),0)),0)</f>
        <v>0</v>
      </c>
      <c r="AH55" s="149">
        <f>IF($C55&gt;0,(IF($AG$7&gt;=$C55+1, (-FV(InflationRate,$AG$7,,$E55)), 0)),0)</f>
        <v>0</v>
      </c>
      <c r="AI55" s="149">
        <f>IF($C55&gt;0,(IF($AG$7&gt;=$C55+1, (-FV(InflationRate,$AG$7,,$F55)), 0)),0)</f>
        <v>0</v>
      </c>
      <c r="AJ55" s="171">
        <f>IF($C55&gt;0,(IF($AG$7&gt;=$C55+1, (-FV(InflationRate,$AG$7,,$G55)), 0)),0)</f>
        <v>0</v>
      </c>
      <c r="AK55" s="160">
        <f>IF($C55&gt;0,(IF($C55=$AK$7,(-FV(InflationRate,$AK$7,,$D55)),0)),0)</f>
        <v>2843166.3813</v>
      </c>
      <c r="AL55" s="150">
        <f>IF($C55&gt;0,(IF($AK$7&gt;=$C55+1, (-FV(InflationRate,$AK$7,,$E55)), 0)),0)</f>
        <v>0</v>
      </c>
      <c r="AM55" s="150">
        <f>IF($C55&gt;0,(IF($AK$7&gt;=$C55+1, (-FV(InflationRate,$AK$7,,$F55)), 0)),0)</f>
        <v>0</v>
      </c>
      <c r="AN55" s="165">
        <f>IF($C55&gt;0,(IF($AK$7&gt;=$C55+1, (-FV(InflationRate,$AK$7,,$G55)), 0)),0)</f>
        <v>0</v>
      </c>
      <c r="AO55" s="168">
        <f>IF($C55&gt;0,(IF($C55=$AO$7,(-FV(InflationRate,$AO$7,,$D55)),0)),0)</f>
        <v>0</v>
      </c>
      <c r="AP55" s="149">
        <f>IF($C55&gt;0,(IF($AO$7&gt;=$C55+1, (-FV(InflationRate,$AO$7,,$E55)), 0)),0)</f>
        <v>12718.249553</v>
      </c>
      <c r="AQ55" s="149">
        <f>IF($C55&gt;0,(IF($AO$7&gt;=$C55+1, (-FV(InflationRate,$AO$7,,$F55)), 0)),0)</f>
        <v>0</v>
      </c>
      <c r="AR55" s="157">
        <f>IF($C55&gt;0,(IF($AO$7&gt;=$C55+1, (-FV(InflationRate,$AO$7,,$G55)), 0)),0)</f>
        <v>12155.495148</v>
      </c>
      <c r="AS55" s="160">
        <f>IF($C55&gt;0,(IF($C55=$AS$7,(-FV(InflationRate,$AS$7,,$D55)),0)),0)</f>
        <v>0</v>
      </c>
      <c r="AT55" s="150">
        <f>IF($C55&gt;0,(IF($AS$7&gt;=$C55+1, (-FV(InflationRate,$AS$7,,$E55)), 0)),0)</f>
        <v>13099.797039589997</v>
      </c>
      <c r="AU55" s="150">
        <f>IF($C55&gt;0,(IF($AS$7&gt;=$C55+1, (-FV(InflationRate,$AS$7,,$F55)), 0)),0)</f>
        <v>0</v>
      </c>
      <c r="AV55" s="165">
        <f>IF($C55&gt;0,(IF($AS$7&gt;=$C55+1, (-FV(InflationRate,$AS$7,,$G55)), 0)),0)</f>
        <v>12520.160002439998</v>
      </c>
      <c r="AW55" s="168">
        <f>IF($C55&gt;0,(IF($C55=$AW$7,(-FV(InflationRate,$AW$7,,$D55)),0)),0)</f>
        <v>0</v>
      </c>
      <c r="AX55" s="149">
        <f>IF($C55&gt;0,(IF($AW$7&gt;=$C55+1, (-FV(InflationRate,$AW$7,,$E55)), 0)),0)</f>
        <v>13492.790950777699</v>
      </c>
      <c r="AY55" s="149">
        <f>IF($C55&gt;0,(IF($AW$7&gt;=$C55+1, (-FV(InflationRate,$AW$7,,$F55)), 0)),0)</f>
        <v>0</v>
      </c>
      <c r="AZ55" s="157">
        <f>IF($C55&gt;0,(IF($AW$7&gt;=$C55+1, (-FV(InflationRate,$AW$7,,$G55)), 0)),0)</f>
        <v>12895.764802513198</v>
      </c>
      <c r="BA55" s="160">
        <f>IF($C55&gt;0,(IF($C55=$BA$7,(-FV(InflationRate,$BA$7,,$D55)),0)),0)</f>
        <v>0</v>
      </c>
      <c r="BB55" s="150">
        <f>IF($C55&gt;0,(IF($BA$7&gt;=$C55+1, (-FV(InflationRate,$BA$7,,$E55)), 0)),0)</f>
        <v>13897.574679301031</v>
      </c>
      <c r="BC55" s="150">
        <f>IF($C55&gt;0,(IF($BA$7&gt;=$C55+1, (-FV(InflationRate,$BA$7,,$F55)), 0)),0)</f>
        <v>0</v>
      </c>
      <c r="BD55" s="176">
        <f>IF($C55&gt;0,(IF($BA$7&gt;=$C55+1, (-FV(InflationRate,$BA$7,,$G55)), 0)),0)</f>
        <v>13282.637746588596</v>
      </c>
      <c r="BE55" s="168">
        <f>IF($C55&gt;0,(IF($C55=$BE$7,(-FV(InflationRate,$BE$7,,$D55)),0)),0)</f>
        <v>0</v>
      </c>
      <c r="BF55" s="149">
        <f>IF($C55&gt;0,(IF($BE$7&gt;=$C55+1, (-FV(InflationRate,$BE$7,,$E55)), 0)),0)</f>
        <v>14314.50191968006</v>
      </c>
      <c r="BG55" s="149">
        <f>IF($C55&gt;0,(IF($BE$7&gt;=$C55+1, (-FV(InflationRate,$BE$7,,$F55)), 0)),0)</f>
        <v>0</v>
      </c>
      <c r="BH55" s="171">
        <f>IF($C55&gt;0,(IF($BE$7&gt;=$C55+1, (-FV(InflationRate,$BE$7,,$G55)), 0)),0)</f>
        <v>13681.116878986251</v>
      </c>
      <c r="BI55" s="160">
        <f>IF($C55&gt;0,(IF($C55=$BI$7,(-FV(InflationRate,$BI$7,,$D55)),0)),0)</f>
        <v>0</v>
      </c>
      <c r="BJ55" s="150">
        <f>IF($C55&gt;0,(IF($BI$7&gt;=$C55+1, (-FV(InflationRate,$BI$7,,$E55)), 0)),0)</f>
        <v>14743.936977270463</v>
      </c>
      <c r="BK55" s="150">
        <f>IF($C55&gt;0,(IF($BI$7&gt;=$C55+1, (-FV(InflationRate,$BI$7,,$F55)), 0)),0)</f>
        <v>0</v>
      </c>
      <c r="BL55" s="176">
        <f>IF($C55&gt;0,(IF($BI$7&gt;=$C55+1, (-FV(InflationRate,$BI$7,,$G55)), 0)),0)</f>
        <v>14091.55038535584</v>
      </c>
      <c r="BM55" s="168">
        <f>IF($C55&gt;0,(IF($C55=$BM$7,(-FV(InflationRate,$BM$7,,$D55)),0)),0)</f>
        <v>0</v>
      </c>
      <c r="BN55" s="149">
        <f>IF($C55&gt;0,(IF($BM$7&gt;=$C55+1, (-FV(InflationRate,$BM$7,,$E55)), 0)),0)</f>
        <v>15186.255086588577</v>
      </c>
      <c r="BO55" s="149">
        <f>IF($C55&gt;0,(IF($BM$7&gt;=$C55+1, (-FV(InflationRate,$BM$7,,$F55)), 0)),0)</f>
        <v>0</v>
      </c>
      <c r="BP55" s="157">
        <f>IF($C55&gt;0,(IF($BM$7&gt;=$C55+1, (-FV(InflationRate,$BM$7,,$G55)), 0)),0)</f>
        <v>14514.296896916516</v>
      </c>
      <c r="BQ55" s="160">
        <f>IF($C55&gt;0,(IF($C55=$BQ$7,(-FV(InflationRate,$BQ$7,,$D55)),0)),0)</f>
        <v>0</v>
      </c>
      <c r="BR55" s="150">
        <f>IF($C55&gt;0,(IF($BQ$7&gt;=$C55+1, (-FV(InflationRate,$BQ$7,,$E55)), 0)),0)</f>
        <v>15641.842739186233</v>
      </c>
      <c r="BS55" s="150">
        <f>IF($C55&gt;0,(IF($BQ$7&gt;=$C55+1, (-FV(InflationRate,$BQ$7,,$F55)), 0)),0)</f>
        <v>0</v>
      </c>
      <c r="BT55" s="176">
        <f>IF($C55&gt;0,(IF($BQ$7&gt;=$C55+1, (-FV(InflationRate,$BQ$7,,$G55)), 0)),0)</f>
        <v>14949.725803824011</v>
      </c>
      <c r="BU55" s="168">
        <f>IF($C55&gt;0,(IF($C55=$BU$7,(-FV(InflationRate,$BU$7,,$D55)),0)),0)</f>
        <v>0</v>
      </c>
      <c r="BV55" s="149">
        <f>IF($C55&gt;0,(IF($BU$7&gt;=$C55+1, (-FV(InflationRate,$BU$7,,$E55)), 0)),0)</f>
        <v>16111.098021361819</v>
      </c>
      <c r="BW55" s="149">
        <f>IF($C55&gt;0,(IF($BU$7&gt;=$C55+1, (-FV(InflationRate,$BU$7,,$F55)), 0)),0)</f>
        <v>0</v>
      </c>
      <c r="BX55" s="157">
        <f>IF($C55&gt;0,(IF($BU$7&gt;=$C55+1, (-FV(InflationRate,$BU$7,,$G55)), 0)),0)</f>
        <v>15398.217577938729</v>
      </c>
      <c r="BY55" s="160">
        <f>IF($C55&gt;0,(IF($C55=$BY$7,(-FV(InflationRate,$BY$7,,$D55)),0)),0)</f>
        <v>0</v>
      </c>
      <c r="BZ55" s="150">
        <f>IF($C55&gt;0,(IF($BY$7&gt;=$C55+1, (-FV(InflationRate,$BY$7,,$E55)), 0)),0)</f>
        <v>16594.430962002672</v>
      </c>
      <c r="CA55" s="150">
        <f>IF($C55&gt;0,(IF($BY$7&gt;=$C55+1, (-FV(InflationRate,$BY$7,,$F55)), 0)),0)</f>
        <v>0</v>
      </c>
      <c r="CB55" s="176">
        <f>IF($C55&gt;0,(IF($BY$7&gt;=$C55+1, (-FV(InflationRate,$BY$7,,$G55)), 0)),0)</f>
        <v>15860.16410527689</v>
      </c>
      <c r="CC55" s="168">
        <f>IF($C55&gt;0,(IF($C55=$CC$7,(-FV(InflationRate,$CC$7,,$D55)),0)),0)</f>
        <v>0</v>
      </c>
      <c r="CD55" s="149">
        <f>IF($C55&gt;0,(IF($CC$7&gt;=$C55+1, (-FV(InflationRate,$CC$7,,$E55)), 0)),0)</f>
        <v>17092.263890862756</v>
      </c>
      <c r="CE55" s="149">
        <f>IF($C55&gt;0,(IF($CC$7&gt;=$C55+1, (-FV(InflationRate,$CC$7,,$F55)), 0)),0)</f>
        <v>0</v>
      </c>
      <c r="CF55" s="157">
        <f>IF($C55&gt;0,(IF($CC$7&gt;=$C55+1, (-FV(InflationRate,$CC$7,,$G55)), 0)),0)</f>
        <v>16335.969028435198</v>
      </c>
      <c r="CG55" s="160">
        <f>IF($C55&gt;0,(IF($C55=$CG$7,(-FV(InflationRate,$CG$7,,$D55)),0)),0)</f>
        <v>0</v>
      </c>
      <c r="CH55" s="150">
        <f>IF($C55&gt;0,(IF($CG$7&gt;=$C55+1, (-FV(InflationRate,$CG$7,,$E55)), 0)),0)</f>
        <v>17605.031807588639</v>
      </c>
      <c r="CI55" s="150">
        <f>IF($C55&gt;0,(IF($CG$7&gt;=$C55+1, (-FV(InflationRate,$CG$7,,$F55)), 0)),0)</f>
        <v>0</v>
      </c>
      <c r="CJ55" s="176">
        <f>IF($C55&gt;0,(IF($CG$7&gt;=$C55+1, (-FV(InflationRate,$CG$7,,$G55)), 0)),0)</f>
        <v>16826.048099288255</v>
      </c>
      <c r="CK55" s="168">
        <f>IF($C55&gt;0,(IF($C55=$CK$7,(-FV(InflationRate,$CK$7,,$D55)),0)),0)</f>
        <v>0</v>
      </c>
      <c r="CL55" s="149">
        <f>IF($C55&gt;0,(IF($CK$7&gt;=$C55+1, (-FV(InflationRate,$CK$7,,$E55)), 0)),0)</f>
        <v>18133.182761816293</v>
      </c>
      <c r="CM55" s="149">
        <f>IF($C55&gt;0,(IF($CK$7&gt;=$C55+1, (-FV(InflationRate,$CK$7,,$F55)), 0)),0)</f>
        <v>0</v>
      </c>
      <c r="CN55" s="157">
        <f>IF($C55&gt;0,(IF($CK$7&gt;=$C55+1, (-FV(InflationRate,$CK$7,,$G55)), 0)),0)</f>
        <v>17330.8295422669</v>
      </c>
      <c r="CO55" s="160">
        <f>IF($C55&gt;0,(IF($C55=$CO$7,(-FV(InflationRate,$CO$7,,$D55)),0)),0)</f>
        <v>0</v>
      </c>
      <c r="CP55" s="150">
        <f>IF($C55&gt;0,(IF($CO$7&gt;=$C55+1, (-FV(InflationRate,$CO$7,,$E55)), 0)),0)</f>
        <v>18677.178244670784</v>
      </c>
      <c r="CQ55" s="150">
        <f>IF($C55&gt;0,(IF($CO$7&gt;=$C55+1, (-FV(InflationRate,$CO$7,,$F55)), 0)),0)</f>
        <v>0</v>
      </c>
      <c r="CR55" s="176">
        <f>IF($C55&gt;0,(IF($CO$7&gt;=$C55+1, (-FV(InflationRate,$CO$7,,$G55)), 0)),0)</f>
        <v>17850.754428534907</v>
      </c>
      <c r="CS55" s="168">
        <f>IF($C55&gt;0,(IF($C55=$CS$7,(-FV(InflationRate,$CS$7,,$D55)),0)),0)</f>
        <v>0</v>
      </c>
      <c r="CT55" s="149">
        <f>IF($C55&gt;0,(IF($CS$7&gt;=$C55+1, (-FV(InflationRate,$CS$7,,$E55)), 0)),0)</f>
        <v>19237.493592010906</v>
      </c>
      <c r="CU55" s="149">
        <f>IF($C55&gt;0,(IF($CS$7&gt;=$C55+1, (-FV(InflationRate,$CS$7,,$F55)), 0)),0)</f>
        <v>0</v>
      </c>
      <c r="CV55" s="157">
        <f>IF($C55&gt;0,(IF($CS$7&gt;=$C55+1, (-FV(InflationRate,$CS$7,,$G55)), 0)),0)</f>
        <v>18386.277061390956</v>
      </c>
      <c r="CW55" s="160">
        <f>IF($C55&gt;0,(IF($C55=$CW$7,(-FV(InflationRate,$CW$7,,$D55)),0)),0)</f>
        <v>0</v>
      </c>
      <c r="CX55" s="150">
        <f>IF($C55&gt;0,(IF($CW$7&gt;=$C55+1, (-FV(InflationRate,$CW$7,,$E55)), 0)),0)</f>
        <v>19814.618399771232</v>
      </c>
      <c r="CY55" s="150">
        <f>IF($C55&gt;0,(IF($CW$7&gt;=$C55+1, (-FV(InflationRate,$CW$7,,$F55)), 0)),0)</f>
        <v>0</v>
      </c>
      <c r="CZ55" s="176">
        <f>IF($C55&gt;0,(IF($CW$7&gt;=$C55+1, (-FV(InflationRate,$CW$7,,$G55)), 0)),0)</f>
        <v>18937.865373232682</v>
      </c>
      <c r="DA55" s="168">
        <f>IF($C55&gt;0,(IF($C55=$DA$7,(-FV(InflationRate,$DA$7,,$D55)),0)),0)</f>
        <v>0</v>
      </c>
      <c r="DB55" s="149">
        <f>IF($C55&gt;0,(IF($DA$7&gt;=$C55+1, (-FV(InflationRate,$DA$7,,$E55)), 0)),0)</f>
        <v>20409.056951764371</v>
      </c>
      <c r="DC55" s="149">
        <f>IF($C55&gt;0,(IF($DA$7&gt;=$C55+1, (-FV(InflationRate,$DA$7,,$F55)), 0)),0)</f>
        <v>0</v>
      </c>
      <c r="DD55" s="157">
        <f>IF($C55&gt;0,(IF($DA$7&gt;=$C55+1, (-FV(InflationRate,$DA$7,,$G55)), 0)),0)</f>
        <v>19506.001334429664</v>
      </c>
    </row>
    <row r="56" spans="2:108" ht="12.75" customHeight="1" x14ac:dyDescent="0.2">
      <c r="B56" s="183" t="s">
        <v>203</v>
      </c>
      <c r="C56" s="556"/>
      <c r="D56" s="168"/>
      <c r="E56" s="149"/>
      <c r="F56" s="558">
        <v>0</v>
      </c>
      <c r="G56" s="149"/>
      <c r="H56" s="168">
        <f>SUM(I56:AB56)</f>
        <v>0</v>
      </c>
      <c r="I56" s="610">
        <f>-PV(InterestRate,I$8,,(SUM(AC56:AF56)))</f>
        <v>0</v>
      </c>
      <c r="J56" s="610">
        <f>-PV(InterestRate,J$8,,(SUM(AG56:AJ56)))</f>
        <v>0</v>
      </c>
      <c r="K56" s="610">
        <f>-PV(InterestRate,K$8,,(SUM(AK56:AN56)))</f>
        <v>0</v>
      </c>
      <c r="L56" s="610">
        <f>-PV(InterestRate,L$8,,(SUM(AO56:AR56)))</f>
        <v>0</v>
      </c>
      <c r="M56" s="610">
        <f>-PV(InterestRate,M$8,,(SUM(AS56:AV56)))</f>
        <v>0</v>
      </c>
      <c r="N56" s="610">
        <f>-PV(InterestRate,N$8,,(SUM(AW56:AZ56)))</f>
        <v>0</v>
      </c>
      <c r="O56" s="610">
        <f>-PV(InterestRate,O$8,,(SUM(BA56:BD56)))</f>
        <v>0</v>
      </c>
      <c r="P56" s="610">
        <f>-PV(InterestRate,P$8,,(SUM(BE56:BH56)))</f>
        <v>0</v>
      </c>
      <c r="Q56" s="610">
        <f>-PV(InterestRate,Q$8,,(SUM(BI56:BL56)))</f>
        <v>0</v>
      </c>
      <c r="R56" s="610">
        <f>-PV(InterestRate,R$8,,(SUM(BM56:BP56)))</f>
        <v>0</v>
      </c>
      <c r="S56" s="610">
        <f>-PV(InterestRate,S$8,,(SUM(BQ56:BT56)))</f>
        <v>0</v>
      </c>
      <c r="T56" s="610">
        <f>-PV(InterestRate,T$8,,(SUM(BU56:BX56)))</f>
        <v>0</v>
      </c>
      <c r="U56" s="610">
        <f>-PV(InterestRate,U$8,,(SUM(BY56:CB56)))</f>
        <v>0</v>
      </c>
      <c r="V56" s="610">
        <f>-PV(InterestRate,V$8,,(SUM(CC56:CF56)))</f>
        <v>0</v>
      </c>
      <c r="W56" s="610">
        <f>-PV(InterestRate,W$8,,(SUM(CG56:CJ56)))</f>
        <v>0</v>
      </c>
      <c r="X56" s="610">
        <f>-PV(InterestRate,X$8,,(SUM(CK56:CN56)))</f>
        <v>0</v>
      </c>
      <c r="Y56" s="610">
        <f>-PV(InterestRate,Y$8,,(SUM(CO56:CR56)))</f>
        <v>0</v>
      </c>
      <c r="Z56" s="610">
        <f>-PV(InterestRate,Z$8,,(SUM(CS56:CV56)))</f>
        <v>0</v>
      </c>
      <c r="AA56" s="610">
        <f>-PV(InterestRate,AA$8,,(SUM(CW56:CZ56)))</f>
        <v>0</v>
      </c>
      <c r="AB56" s="611">
        <f>-PV(InterestRate,AB$8,,(SUM(DA56:DD56)))</f>
        <v>0</v>
      </c>
      <c r="AC56" s="160">
        <f>IF($C56&gt;0,(IF($C56=$AC$7,$D56,0)),0)</f>
        <v>0</v>
      </c>
      <c r="AD56" s="150">
        <f>IF($C56&gt;0,(IF($AC$7&gt;=$C56+1,$E56,0)),0)</f>
        <v>0</v>
      </c>
      <c r="AE56" s="150">
        <f>IF($C56&gt;0,(IF($C56=$AC$7,$F56,0)),0)</f>
        <v>0</v>
      </c>
      <c r="AF56" s="165">
        <f>IF($C56&gt;0,(IF($AC$7&gt;=$C56+1,$G56,0)),0)</f>
        <v>0</v>
      </c>
      <c r="AG56" s="168">
        <f>IF($C56&gt;0,(IF($C56=$AG$7,(-FV(InflationRate,$AG$7,,$D56)),0)),0)</f>
        <v>0</v>
      </c>
      <c r="AH56" s="149">
        <f>IF($C56&gt;0,(IF($AG$7&gt;=$C56+1, (-FV(InflationRate,$AG$7,,$E56)), 0)),0)</f>
        <v>0</v>
      </c>
      <c r="AI56" s="149">
        <f>IF($C56&gt;0,(IF($AG$7&gt;=$C56+1, (-FV(InflationRate,$AG$7,,$F56)), 0)),0)</f>
        <v>0</v>
      </c>
      <c r="AJ56" s="171">
        <f>IF($C56&gt;0,(IF($AG$7&gt;=$C56+1, (-FV(InflationRate,$AG$7,,$G56)), 0)),0)</f>
        <v>0</v>
      </c>
      <c r="AK56" s="160">
        <f>IF($C56&gt;0,(IF($C56=$AK$7,(-FV(InflationRate,$AK$7,,$D56)),0)),0)</f>
        <v>0</v>
      </c>
      <c r="AL56" s="150">
        <f>IF($C56&gt;0,(IF($AK$7&gt;=$C56+1, (-FV(InflationRate,$AK$7,,$E56)), 0)),0)</f>
        <v>0</v>
      </c>
      <c r="AM56" s="150">
        <f>IF($C56&gt;0,(IF($AK$7&gt;=$C56+1, (-FV(InflationRate,$AK$7,,$F56)), 0)),0)</f>
        <v>0</v>
      </c>
      <c r="AN56" s="165">
        <f>IF($C56&gt;0,(IF($AK$7&gt;=$C56+1, (-FV(InflationRate,$AK$7,,$G56)), 0)),0)</f>
        <v>0</v>
      </c>
      <c r="AO56" s="168">
        <f>IF($C56&gt;0,(IF($C56=$AO$7,(-FV(InflationRate,$AO$7,,$D56)),0)),0)</f>
        <v>0</v>
      </c>
      <c r="AP56" s="149">
        <f>IF($C56&gt;0,(IF($AO$7&gt;=$C56+1, (-FV(InflationRate,$AO$7,,$E56)), 0)),0)</f>
        <v>0</v>
      </c>
      <c r="AQ56" s="149">
        <f>IF($C56&gt;0,(IF($AO$7&gt;=$C56+1, (-FV(InflationRate,$AO$7,,$F56)), 0)),0)</f>
        <v>0</v>
      </c>
      <c r="AR56" s="157">
        <f>IF($C56&gt;0,(IF($AO$7&gt;=$C56+1, (-FV(InflationRate,$AO$7,,$G56)), 0)),0)</f>
        <v>0</v>
      </c>
      <c r="AS56" s="160">
        <f>IF($C56&gt;0,(IF($C56=$AS$7,(-FV(InflationRate,$AS$7,,$D56)),0)),0)</f>
        <v>0</v>
      </c>
      <c r="AT56" s="150">
        <f>IF($C56&gt;0,(IF($AS$7&gt;=$C56+1, (-FV(InflationRate,$AS$7,,$E56)), 0)),0)</f>
        <v>0</v>
      </c>
      <c r="AU56" s="150">
        <f>IF($C56&gt;0,(IF($AS$7&gt;=$C56+1, (-FV(InflationRate,$AS$7,,$F56)), 0)),0)</f>
        <v>0</v>
      </c>
      <c r="AV56" s="165">
        <f>IF($C56&gt;0,(IF($AS$7&gt;=$C56+1, (-FV(InflationRate,$AS$7,,$G56)), 0)),0)</f>
        <v>0</v>
      </c>
      <c r="AW56" s="168">
        <f>IF($C56&gt;0,(IF($C56=$AW$7,(-FV(InflationRate,$AW$7,,$D56)),0)),0)</f>
        <v>0</v>
      </c>
      <c r="AX56" s="149">
        <f>IF($C56&gt;0,(IF($AW$7&gt;=$C56+1, (-FV(InflationRate,$AW$7,,$E56)), 0)),0)</f>
        <v>0</v>
      </c>
      <c r="AY56" s="149">
        <f>IF($C56&gt;0,(IF($AW$7&gt;=$C56+1, (-FV(InflationRate,$AW$7,,$F56)), 0)),0)</f>
        <v>0</v>
      </c>
      <c r="AZ56" s="157">
        <f>IF($C56&gt;0,(IF($AW$7&gt;=$C56+1, (-FV(InflationRate,$AW$7,,$G56)), 0)),0)</f>
        <v>0</v>
      </c>
      <c r="BA56" s="160">
        <f>IF($C56&gt;0,(IF($C56=$BA$7,(-FV(InflationRate,$BA$7,,$D56)),0)),0)</f>
        <v>0</v>
      </c>
      <c r="BB56" s="150">
        <f>IF($C56&gt;0,(IF($BA$7&gt;=$C56+1, (-FV(InflationRate,$BA$7,,$E56)), 0)),0)</f>
        <v>0</v>
      </c>
      <c r="BC56" s="150">
        <f>IF($C56&gt;0,(IF($BA$7&gt;=$C56+1, (-FV(InflationRate,$BA$7,,$F56)), 0)),0)</f>
        <v>0</v>
      </c>
      <c r="BD56" s="176">
        <f>IF($C56&gt;0,(IF($BA$7&gt;=$C56+1, (-FV(InflationRate,$BA$7,,$G56)), 0)),0)</f>
        <v>0</v>
      </c>
      <c r="BE56" s="168">
        <f>IF($C56&gt;0,(IF($C56=$BE$7,(-FV(InflationRate,$BE$7,,$D56)),0)),0)</f>
        <v>0</v>
      </c>
      <c r="BF56" s="149">
        <f>IF($C56&gt;0,(IF($BE$7&gt;=$C56+1, (-FV(InflationRate,$BE$7,,$E56)), 0)),0)</f>
        <v>0</v>
      </c>
      <c r="BG56" s="149">
        <f>IF($C56&gt;0,(IF($BE$7&gt;=$C56+1, (-FV(InflationRate,$BE$7,,$F56)), 0)),0)</f>
        <v>0</v>
      </c>
      <c r="BH56" s="171">
        <f>IF($C56&gt;0,(IF($BE$7&gt;=$C56+1, (-FV(InflationRate,$BE$7,,$G56)), 0)),0)</f>
        <v>0</v>
      </c>
      <c r="BI56" s="160">
        <f>IF($C56&gt;0,(IF($C56=$BI$7,(-FV(InflationRate,$BI$7,,$D56)),0)),0)</f>
        <v>0</v>
      </c>
      <c r="BJ56" s="150">
        <f>IF($C56&gt;0,(IF($BI$7&gt;=$C56+1, (-FV(InflationRate,$BI$7,,$E56)), 0)),0)</f>
        <v>0</v>
      </c>
      <c r="BK56" s="150">
        <f>IF($C56&gt;0,(IF($BI$7&gt;=$C56+1, (-FV(InflationRate,$BI$7,,$F56)), 0)),0)</f>
        <v>0</v>
      </c>
      <c r="BL56" s="176">
        <f>IF($C56&gt;0,(IF($BI$7&gt;=$C56+1, (-FV(InflationRate,$BI$7,,$G56)), 0)),0)</f>
        <v>0</v>
      </c>
      <c r="BM56" s="168">
        <f>IF($C56&gt;0,(IF($C56=$BM$7,(-FV(InflationRate,$BM$7,,$D56)),0)),0)</f>
        <v>0</v>
      </c>
      <c r="BN56" s="149">
        <f>IF($C56&gt;0,(IF($BM$7&gt;=$C56+1, (-FV(InflationRate,$BM$7,,$E56)), 0)),0)</f>
        <v>0</v>
      </c>
      <c r="BO56" s="149">
        <f>IF($C56&gt;0,(IF($BM$7&gt;=$C56+1, (-FV(InflationRate,$BM$7,,$F56)), 0)),0)</f>
        <v>0</v>
      </c>
      <c r="BP56" s="157">
        <f>IF($C56&gt;0,(IF($BM$7&gt;=$C56+1, (-FV(InflationRate,$BM$7,,$G56)), 0)),0)</f>
        <v>0</v>
      </c>
      <c r="BQ56" s="160">
        <f>IF($C56&gt;0,(IF($C56=$BQ$7,(-FV(InflationRate,$BQ$7,,$D56)),0)),0)</f>
        <v>0</v>
      </c>
      <c r="BR56" s="150">
        <f>IF($C56&gt;0,(IF($BQ$7&gt;=$C56+1, (-FV(InflationRate,$BQ$7,,$E56)), 0)),0)</f>
        <v>0</v>
      </c>
      <c r="BS56" s="150">
        <f>IF($C56&gt;0,(IF($BQ$7&gt;=$C56+1, (-FV(InflationRate,$BQ$7,,$F56)), 0)),0)</f>
        <v>0</v>
      </c>
      <c r="BT56" s="176">
        <f>IF($C56&gt;0,(IF($BQ$7&gt;=$C56+1, (-FV(InflationRate,$BQ$7,,$G56)), 0)),0)</f>
        <v>0</v>
      </c>
      <c r="BU56" s="168">
        <f>IF($C56&gt;0,(IF($C56=$BU$7,(-FV(InflationRate,$BU$7,,$D56)),0)),0)</f>
        <v>0</v>
      </c>
      <c r="BV56" s="149">
        <f>IF($C56&gt;0,(IF($BU$7&gt;=$C56+1, (-FV(InflationRate,$BU$7,,$E56)), 0)),0)</f>
        <v>0</v>
      </c>
      <c r="BW56" s="149">
        <f>IF($C56&gt;0,(IF($BU$7&gt;=$C56+1, (-FV(InflationRate,$BU$7,,$F56)), 0)),0)</f>
        <v>0</v>
      </c>
      <c r="BX56" s="157">
        <f>IF($C56&gt;0,(IF($BU$7&gt;=$C56+1, (-FV(InflationRate,$BU$7,,$G56)), 0)),0)</f>
        <v>0</v>
      </c>
      <c r="BY56" s="160">
        <f>IF($C56&gt;0,(IF($C56=$BY$7,(-FV(InflationRate,$BY$7,,$D56)),0)),0)</f>
        <v>0</v>
      </c>
      <c r="BZ56" s="150">
        <f>IF($C56&gt;0,(IF($BY$7&gt;=$C56+1, (-FV(InflationRate,$BY$7,,$E56)), 0)),0)</f>
        <v>0</v>
      </c>
      <c r="CA56" s="150">
        <f>IF($C56&gt;0,(IF($BY$7&gt;=$C56+1, (-FV(InflationRate,$BY$7,,$F56)), 0)),0)</f>
        <v>0</v>
      </c>
      <c r="CB56" s="176">
        <f>IF($C56&gt;0,(IF($BY$7&gt;=$C56+1, (-FV(InflationRate,$BY$7,,$G56)), 0)),0)</f>
        <v>0</v>
      </c>
      <c r="CC56" s="168">
        <f>IF($C56&gt;0,(IF($C56=$CC$7,(-FV(InflationRate,$CC$7,,$D56)),0)),0)</f>
        <v>0</v>
      </c>
      <c r="CD56" s="149">
        <f>IF($C56&gt;0,(IF($CC$7&gt;=$C56+1, (-FV(InflationRate,$CC$7,,$E56)), 0)),0)</f>
        <v>0</v>
      </c>
      <c r="CE56" s="149">
        <f>IF($C56&gt;0,(IF($CC$7&gt;=$C56+1, (-FV(InflationRate,$CC$7,,$F56)), 0)),0)</f>
        <v>0</v>
      </c>
      <c r="CF56" s="157">
        <f>IF($C56&gt;0,(IF($CC$7&gt;=$C56+1, (-FV(InflationRate,$CC$7,,$G56)), 0)),0)</f>
        <v>0</v>
      </c>
      <c r="CG56" s="160">
        <f>IF($C56&gt;0,(IF($C56=$CG$7,(-FV(InflationRate,$CG$7,,$D56)),0)),0)</f>
        <v>0</v>
      </c>
      <c r="CH56" s="150">
        <f>IF($C56&gt;0,(IF($CG$7&gt;=$C56+1, (-FV(InflationRate,$CG$7,,$E56)), 0)),0)</f>
        <v>0</v>
      </c>
      <c r="CI56" s="150">
        <f>IF($C56&gt;0,(IF($CG$7&gt;=$C56+1, (-FV(InflationRate,$CG$7,,$F56)), 0)),0)</f>
        <v>0</v>
      </c>
      <c r="CJ56" s="176">
        <f>IF($C56&gt;0,(IF($CG$7&gt;=$C56+1, (-FV(InflationRate,$CG$7,,$G56)), 0)),0)</f>
        <v>0</v>
      </c>
      <c r="CK56" s="168">
        <f>IF($C56&gt;0,(IF($C56=$CK$7,(-FV(InflationRate,$CK$7,,$D56)),0)),0)</f>
        <v>0</v>
      </c>
      <c r="CL56" s="149">
        <f>IF($C56&gt;0,(IF($CK$7&gt;=$C56+1, (-FV(InflationRate,$CK$7,,$E56)), 0)),0)</f>
        <v>0</v>
      </c>
      <c r="CM56" s="149">
        <f>IF($C56&gt;0,(IF($CK$7&gt;=$C56+1, (-FV(InflationRate,$CK$7,,$F56)), 0)),0)</f>
        <v>0</v>
      </c>
      <c r="CN56" s="157">
        <f>IF($C56&gt;0,(IF($CK$7&gt;=$C56+1, (-FV(InflationRate,$CK$7,,$G56)), 0)),0)</f>
        <v>0</v>
      </c>
      <c r="CO56" s="160">
        <f>IF($C56&gt;0,(IF($C56=$CO$7,(-FV(InflationRate,$CO$7,,$D56)),0)),0)</f>
        <v>0</v>
      </c>
      <c r="CP56" s="150">
        <f>IF($C56&gt;0,(IF($CO$7&gt;=$C56+1, (-FV(InflationRate,$CO$7,,$E56)), 0)),0)</f>
        <v>0</v>
      </c>
      <c r="CQ56" s="150">
        <f>IF($C56&gt;0,(IF($CO$7&gt;=$C56+1, (-FV(InflationRate,$CO$7,,$F56)), 0)),0)</f>
        <v>0</v>
      </c>
      <c r="CR56" s="176">
        <f>IF($C56&gt;0,(IF($CO$7&gt;=$C56+1, (-FV(InflationRate,$CO$7,,$G56)), 0)),0)</f>
        <v>0</v>
      </c>
      <c r="CS56" s="168">
        <f>IF($C56&gt;0,(IF($C56=$CS$7,(-FV(InflationRate,$CS$7,,$D56)),0)),0)</f>
        <v>0</v>
      </c>
      <c r="CT56" s="149">
        <f>IF($C56&gt;0,(IF($CS$7&gt;=$C56+1, (-FV(InflationRate,$CS$7,,$E56)), 0)),0)</f>
        <v>0</v>
      </c>
      <c r="CU56" s="149">
        <f>IF($C56&gt;0,(IF($CS$7&gt;=$C56+1, (-FV(InflationRate,$CS$7,,$F56)), 0)),0)</f>
        <v>0</v>
      </c>
      <c r="CV56" s="157">
        <f>IF($C56&gt;0,(IF($CS$7&gt;=$C56+1, (-FV(InflationRate,$CS$7,,$G56)), 0)),0)</f>
        <v>0</v>
      </c>
      <c r="CW56" s="160">
        <f>IF($C56&gt;0,(IF($C56=$CW$7,(-FV(InflationRate,$CW$7,,$D56)),0)),0)</f>
        <v>0</v>
      </c>
      <c r="CX56" s="150">
        <f>IF($C56&gt;0,(IF($CW$7&gt;=$C56+1, (-FV(InflationRate,$CW$7,,$E56)), 0)),0)</f>
        <v>0</v>
      </c>
      <c r="CY56" s="150">
        <f>IF($C56&gt;0,(IF($CW$7&gt;=$C56+1, (-FV(InflationRate,$CW$7,,$F56)), 0)),0)</f>
        <v>0</v>
      </c>
      <c r="CZ56" s="176">
        <f>IF($C56&gt;0,(IF($CW$7&gt;=$C56+1, (-FV(InflationRate,$CW$7,,$G56)), 0)),0)</f>
        <v>0</v>
      </c>
      <c r="DA56" s="168">
        <f>IF($C56&gt;0,(IF($C56=$DA$7,(-FV(InflationRate,$DA$7,,$D56)),0)),0)</f>
        <v>0</v>
      </c>
      <c r="DB56" s="149">
        <f>IF($C56&gt;0,(IF($DA$7&gt;=$C56+1, (-FV(InflationRate,$DA$7,,$E56)), 0)),0)</f>
        <v>0</v>
      </c>
      <c r="DC56" s="149">
        <f>IF($C56&gt;0,(IF($DA$7&gt;=$C56+1, (-FV(InflationRate,$DA$7,,$F56)), 0)),0)</f>
        <v>0</v>
      </c>
      <c r="DD56" s="157">
        <f>IF($C56&gt;0,(IF($DA$7&gt;=$C56+1, (-FV(InflationRate,$DA$7,,$G56)), 0)),0)</f>
        <v>0</v>
      </c>
    </row>
    <row r="57" spans="2:108" ht="12.75" hidden="1" customHeight="1" x14ac:dyDescent="0.2">
      <c r="B57" s="182" t="s">
        <v>217</v>
      </c>
      <c r="C57" s="189"/>
      <c r="D57" s="168"/>
      <c r="E57" s="149"/>
      <c r="F57" s="149"/>
      <c r="G57" s="149"/>
      <c r="H57" s="168"/>
      <c r="I57" s="600"/>
      <c r="J57" s="600"/>
      <c r="K57" s="600"/>
      <c r="L57" s="600"/>
      <c r="M57" s="600"/>
      <c r="N57" s="600"/>
      <c r="O57" s="600"/>
      <c r="P57" s="600"/>
      <c r="Q57" s="600"/>
      <c r="R57" s="600"/>
      <c r="S57" s="600"/>
      <c r="T57" s="600"/>
      <c r="U57" s="600"/>
      <c r="V57" s="600"/>
      <c r="W57" s="600"/>
      <c r="X57" s="600"/>
      <c r="Y57" s="600"/>
      <c r="Z57" s="600"/>
      <c r="AA57" s="600"/>
      <c r="AB57" s="601"/>
      <c r="AC57" s="160"/>
      <c r="AD57" s="150"/>
      <c r="AE57" s="150"/>
      <c r="AF57" s="165"/>
      <c r="AG57" s="168"/>
      <c r="AH57" s="149"/>
      <c r="AI57" s="149"/>
      <c r="AJ57" s="171"/>
      <c r="AK57" s="160"/>
      <c r="AL57" s="150"/>
      <c r="AM57" s="150"/>
      <c r="AN57" s="165"/>
      <c r="AO57" s="168"/>
      <c r="AP57" s="149"/>
      <c r="AQ57" s="149"/>
      <c r="AR57" s="157"/>
      <c r="AS57" s="160"/>
      <c r="AT57" s="150"/>
      <c r="AU57" s="150"/>
      <c r="AV57" s="165"/>
      <c r="AW57" s="168"/>
      <c r="AX57" s="149"/>
      <c r="AY57" s="149"/>
      <c r="AZ57" s="157"/>
      <c r="BA57" s="160"/>
      <c r="BB57" s="150"/>
      <c r="BC57" s="150"/>
      <c r="BD57" s="176"/>
      <c r="BE57" s="168"/>
      <c r="BF57" s="149"/>
      <c r="BG57" s="149"/>
      <c r="BH57" s="171"/>
      <c r="BI57" s="160"/>
      <c r="BJ57" s="150"/>
      <c r="BK57" s="150"/>
      <c r="BL57" s="176"/>
      <c r="BM57" s="168"/>
      <c r="BN57" s="149"/>
      <c r="BO57" s="149"/>
      <c r="BP57" s="157"/>
      <c r="BQ57" s="160"/>
      <c r="BR57" s="150"/>
      <c r="BS57" s="150"/>
      <c r="BT57" s="176"/>
      <c r="BU57" s="168"/>
      <c r="BV57" s="149"/>
      <c r="BW57" s="149"/>
      <c r="BX57" s="157"/>
      <c r="BY57" s="160"/>
      <c r="BZ57" s="150"/>
      <c r="CA57" s="150"/>
      <c r="CB57" s="176"/>
      <c r="CC57" s="168"/>
      <c r="CD57" s="149"/>
      <c r="CE57" s="149"/>
      <c r="CF57" s="157"/>
      <c r="CG57" s="160"/>
      <c r="CH57" s="150"/>
      <c r="CI57" s="150"/>
      <c r="CJ57" s="176"/>
      <c r="CK57" s="168"/>
      <c r="CL57" s="149"/>
      <c r="CM57" s="149"/>
      <c r="CN57" s="157"/>
      <c r="CO57" s="160"/>
      <c r="CP57" s="150"/>
      <c r="CQ57" s="150"/>
      <c r="CR57" s="176"/>
      <c r="CS57" s="168"/>
      <c r="CT57" s="149"/>
      <c r="CU57" s="149"/>
      <c r="CV57" s="157"/>
      <c r="CW57" s="160"/>
      <c r="CX57" s="150"/>
      <c r="CY57" s="150"/>
      <c r="CZ57" s="176"/>
      <c r="DA57" s="168"/>
      <c r="DB57" s="149"/>
      <c r="DC57" s="149"/>
      <c r="DD57" s="157"/>
    </row>
    <row r="58" spans="2:108" ht="12.75" hidden="1" customHeight="1" x14ac:dyDescent="0.2">
      <c r="B58" s="183" t="s">
        <v>220</v>
      </c>
      <c r="C58" s="556"/>
      <c r="D58" s="557">
        <v>0</v>
      </c>
      <c r="E58" s="149"/>
      <c r="F58" s="149"/>
      <c r="G58" s="149"/>
      <c r="H58" s="168">
        <f>SUM(I58:AB58)</f>
        <v>0</v>
      </c>
      <c r="I58" s="610">
        <f>-PV(InterestRate,I$8,,(SUM(AC58:AF58)))</f>
        <v>0</v>
      </c>
      <c r="J58" s="610">
        <f>-PV(InterestRate,J$8,,(SUM(AG58:AJ58)))</f>
        <v>0</v>
      </c>
      <c r="K58" s="610">
        <f>-PV(InterestRate,K$8,,(SUM(AK58:AN58)))</f>
        <v>0</v>
      </c>
      <c r="L58" s="610">
        <f>-PV(InterestRate,L$8,,(SUM(AO58:AR58)))</f>
        <v>0</v>
      </c>
      <c r="M58" s="610">
        <f>-PV(InterestRate,M$8,,(SUM(AS58:AV58)))</f>
        <v>0</v>
      </c>
      <c r="N58" s="610">
        <f>-PV(InterestRate,N$8,,(SUM(AW58:AZ58)))</f>
        <v>0</v>
      </c>
      <c r="O58" s="610">
        <f>-PV(InterestRate,O$8,,(SUM(BA58:BD58)))</f>
        <v>0</v>
      </c>
      <c r="P58" s="610">
        <f>-PV(InterestRate,P$8,,(SUM(BE58:BH58)))</f>
        <v>0</v>
      </c>
      <c r="Q58" s="610">
        <f>-PV(InterestRate,Q$8,,(SUM(BI58:BL58)))</f>
        <v>0</v>
      </c>
      <c r="R58" s="610">
        <f>-PV(InterestRate,R$8,,(SUM(BM58:BP58)))</f>
        <v>0</v>
      </c>
      <c r="S58" s="610">
        <f>-PV(InterestRate,S$8,,(SUM(BQ58:BT58)))</f>
        <v>0</v>
      </c>
      <c r="T58" s="610">
        <f>-PV(InterestRate,T$8,,(SUM(BU58:BX58)))</f>
        <v>0</v>
      </c>
      <c r="U58" s="610">
        <f>-PV(InterestRate,U$8,,(SUM(BY58:CB58)))</f>
        <v>0</v>
      </c>
      <c r="V58" s="610">
        <f>-PV(InterestRate,V$8,,(SUM(CC58:CF58)))</f>
        <v>0</v>
      </c>
      <c r="W58" s="610">
        <f>-PV(InterestRate,W$8,,(SUM(CG58:CJ58)))</f>
        <v>0</v>
      </c>
      <c r="X58" s="610">
        <f>-PV(InterestRate,X$8,,(SUM(CK58:CN58)))</f>
        <v>0</v>
      </c>
      <c r="Y58" s="610">
        <f>-PV(InterestRate,Y$8,,(SUM(CO58:CR58)))</f>
        <v>0</v>
      </c>
      <c r="Z58" s="610">
        <f>-PV(InterestRate,Z$8,,(SUM(CS58:CV58)))</f>
        <v>0</v>
      </c>
      <c r="AA58" s="610">
        <f>-PV(InterestRate,AA$8,,(SUM(CW58:CZ58)))</f>
        <v>0</v>
      </c>
      <c r="AB58" s="611">
        <f>-PV(InterestRate,AB$8,,(SUM(DA58:DD58)))</f>
        <v>0</v>
      </c>
      <c r="AC58" s="160">
        <f>IF($C58&gt;0,(IF($C58=$AC$7,$D58,0)),0)</f>
        <v>0</v>
      </c>
      <c r="AD58" s="150">
        <f>IF($C58&gt;0,(IF($AC$7&gt;=$C58+1,$E58,0)),0)</f>
        <v>0</v>
      </c>
      <c r="AE58" s="150">
        <f>IF($C58&gt;0,(IF($C58=$AC$7,$F58,0)),0)</f>
        <v>0</v>
      </c>
      <c r="AF58" s="165">
        <f>IF($C58&gt;0,(IF($AC$7&gt;=$C58+1,$G58,0)),0)</f>
        <v>0</v>
      </c>
      <c r="AG58" s="168">
        <f>IF($C58&gt;0,(IF($C58=$AG$7,(-FV(InflationRate,$AG$7,,$D58)),0)),0)</f>
        <v>0</v>
      </c>
      <c r="AH58" s="149">
        <f>IF($C58&gt;0,(IF($AG$7&gt;=$C58+1, (-FV(InflationRate,$AG$7,,$E58)), 0)),0)</f>
        <v>0</v>
      </c>
      <c r="AI58" s="149">
        <f>IF($C58&gt;0,(IF($AG$7&gt;=$C58+1, (-FV(InflationRate,$AG$7,,$F58)), 0)),0)</f>
        <v>0</v>
      </c>
      <c r="AJ58" s="171">
        <f>IF($C58&gt;0,(IF($AG$7&gt;=$C58+1, (-FV(InflationRate,$AG$7,,$G58)), 0)),0)</f>
        <v>0</v>
      </c>
      <c r="AK58" s="160">
        <f>IF($C58&gt;0,(IF($C58=$AK$7,(-FV(InflationRate,$AK$7,,$D58)),0)),0)</f>
        <v>0</v>
      </c>
      <c r="AL58" s="150">
        <f>IF($C58&gt;0,(IF($AK$7&gt;=$C58+1, (-FV(InflationRate,$AK$7,,$E58)), 0)),0)</f>
        <v>0</v>
      </c>
      <c r="AM58" s="150">
        <f>IF($C58&gt;0,(IF($AK$7&gt;=$C58+1, (-FV(InflationRate,$AK$7,,$F58)), 0)),0)</f>
        <v>0</v>
      </c>
      <c r="AN58" s="165">
        <f>IF($C58&gt;0,(IF($AK$7&gt;=$C58+1, (-FV(InflationRate,$AK$7,,$G58)), 0)),0)</f>
        <v>0</v>
      </c>
      <c r="AO58" s="168">
        <f>IF($C58&gt;0,(IF($C58=$AO$7,(-FV(InflationRate,$AO$7,,$D58)),0)),0)</f>
        <v>0</v>
      </c>
      <c r="AP58" s="149">
        <f>IF($C58&gt;0,(IF($AO$7&gt;=$C58+1, (-FV(InflationRate,$AO$7,,$E58)), 0)),0)</f>
        <v>0</v>
      </c>
      <c r="AQ58" s="149">
        <f>IF($C58&gt;0,(IF($AO$7&gt;=$C58+1, (-FV(InflationRate,$AO$7,,$F58)), 0)),0)</f>
        <v>0</v>
      </c>
      <c r="AR58" s="157">
        <f>IF($C58&gt;0,(IF($AO$7&gt;=$C58+1, (-FV(InflationRate,$AO$7,,$G58)), 0)),0)</f>
        <v>0</v>
      </c>
      <c r="AS58" s="160">
        <f>IF($C58&gt;0,(IF($C58=$AS$7,(-FV(InflationRate,$AS$7,,$D58)),0)),0)</f>
        <v>0</v>
      </c>
      <c r="AT58" s="150">
        <f>IF($C58&gt;0,(IF($AS$7&gt;=$C58+1, (-FV(InflationRate,$AS$7,,$E58)), 0)),0)</f>
        <v>0</v>
      </c>
      <c r="AU58" s="150">
        <f>IF($C58&gt;0,(IF($AS$7&gt;=$C58+1, (-FV(InflationRate,$AS$7,,$F58)), 0)),0)</f>
        <v>0</v>
      </c>
      <c r="AV58" s="165">
        <f>IF($C58&gt;0,(IF($AS$7&gt;=$C58+1, (-FV(InflationRate,$AS$7,,$G58)), 0)),0)</f>
        <v>0</v>
      </c>
      <c r="AW58" s="168">
        <f>IF($C58&gt;0,(IF($C58=$AW$7,(-FV(InflationRate,$AW$7,,$D58)),0)),0)</f>
        <v>0</v>
      </c>
      <c r="AX58" s="149">
        <f>IF($C58&gt;0,(IF($AW$7&gt;=$C58+1, (-FV(InflationRate,$AW$7,,$E58)), 0)),0)</f>
        <v>0</v>
      </c>
      <c r="AY58" s="149">
        <f>IF($C58&gt;0,(IF($AW$7&gt;=$C58+1, (-FV(InflationRate,$AW$7,,$F58)), 0)),0)</f>
        <v>0</v>
      </c>
      <c r="AZ58" s="157">
        <f>IF($C58&gt;0,(IF($AW$7&gt;=$C58+1, (-FV(InflationRate,$AW$7,,$G58)), 0)),0)</f>
        <v>0</v>
      </c>
      <c r="BA58" s="160">
        <f>IF($C58&gt;0,(IF($C58=$BA$7,(-FV(InflationRate,$BA$7,,$D58)),0)),0)</f>
        <v>0</v>
      </c>
      <c r="BB58" s="150">
        <f>IF($C58&gt;0,(IF($BA$7&gt;=$C58+1, (-FV(InflationRate,$BA$7,,$E58)), 0)),0)</f>
        <v>0</v>
      </c>
      <c r="BC58" s="150">
        <f>IF($C58&gt;0,(IF($BA$7&gt;=$C58+1, (-FV(InflationRate,$BA$7,,$F58)), 0)),0)</f>
        <v>0</v>
      </c>
      <c r="BD58" s="176">
        <f>IF($C58&gt;0,(IF($BA$7&gt;=$C58+1, (-FV(InflationRate,$BA$7,,$G58)), 0)),0)</f>
        <v>0</v>
      </c>
      <c r="BE58" s="168">
        <f>IF($C58&gt;0,(IF($C58=$BE$7,(-FV(InflationRate,$BE$7,,$D58)),0)),0)</f>
        <v>0</v>
      </c>
      <c r="BF58" s="149">
        <f>IF($C58&gt;0,(IF($BE$7&gt;=$C58+1, (-FV(InflationRate,$BE$7,,$E58)), 0)),0)</f>
        <v>0</v>
      </c>
      <c r="BG58" s="149">
        <f>IF($C58&gt;0,(IF($BE$7&gt;=$C58+1, (-FV(InflationRate,$BE$7,,$F58)), 0)),0)</f>
        <v>0</v>
      </c>
      <c r="BH58" s="171">
        <f>IF($C58&gt;0,(IF($BE$7&gt;=$C58+1, (-FV(InflationRate,$BE$7,,$G58)), 0)),0)</f>
        <v>0</v>
      </c>
      <c r="BI58" s="160">
        <f>IF($C58&gt;0,(IF($C58=$BI$7,(-FV(InflationRate,$BI$7,,$D58)),0)),0)</f>
        <v>0</v>
      </c>
      <c r="BJ58" s="150">
        <f>IF($C58&gt;0,(IF($BI$7&gt;=$C58+1, (-FV(InflationRate,$BI$7,,$E58)), 0)),0)</f>
        <v>0</v>
      </c>
      <c r="BK58" s="150">
        <f>IF($C58&gt;0,(IF($BI$7&gt;=$C58+1, (-FV(InflationRate,$BI$7,,$F58)), 0)),0)</f>
        <v>0</v>
      </c>
      <c r="BL58" s="176">
        <f>IF($C58&gt;0,(IF($BI$7&gt;=$C58+1, (-FV(InflationRate,$BI$7,,$G58)), 0)),0)</f>
        <v>0</v>
      </c>
      <c r="BM58" s="168">
        <f>IF($C58&gt;0,(IF($C58=$BM$7,(-FV(InflationRate,$BM$7,,$D58)),0)),0)</f>
        <v>0</v>
      </c>
      <c r="BN58" s="149">
        <f>IF($C58&gt;0,(IF($BM$7&gt;=$C58+1, (-FV(InflationRate,$BM$7,,$E58)), 0)),0)</f>
        <v>0</v>
      </c>
      <c r="BO58" s="149">
        <f>IF($C58&gt;0,(IF($BM$7&gt;=$C58+1, (-FV(InflationRate,$BM$7,,$F58)), 0)),0)</f>
        <v>0</v>
      </c>
      <c r="BP58" s="157">
        <f>IF($C58&gt;0,(IF($BM$7&gt;=$C58+1, (-FV(InflationRate,$BM$7,,$G58)), 0)),0)</f>
        <v>0</v>
      </c>
      <c r="BQ58" s="160">
        <f>IF($C58&gt;0,(IF($C58=$BQ$7,(-FV(InflationRate,$BQ$7,,$D58)),0)),0)</f>
        <v>0</v>
      </c>
      <c r="BR58" s="150">
        <f>IF($C58&gt;0,(IF($BQ$7&gt;=$C58+1, (-FV(InflationRate,$BQ$7,,$E58)), 0)),0)</f>
        <v>0</v>
      </c>
      <c r="BS58" s="150">
        <f>IF($C58&gt;0,(IF($BQ$7&gt;=$C58+1, (-FV(InflationRate,$BQ$7,,$F58)), 0)),0)</f>
        <v>0</v>
      </c>
      <c r="BT58" s="176">
        <f>IF($C58&gt;0,(IF($BQ$7&gt;=$C58+1, (-FV(InflationRate,$BQ$7,,$G58)), 0)),0)</f>
        <v>0</v>
      </c>
      <c r="BU58" s="168">
        <f>IF($C58&gt;0,(IF($C58=$BU$7,(-FV(InflationRate,$BU$7,,$D58)),0)),0)</f>
        <v>0</v>
      </c>
      <c r="BV58" s="149">
        <f>IF($C58&gt;0,(IF($BU$7&gt;=$C58+1, (-FV(InflationRate,$BU$7,,$E58)), 0)),0)</f>
        <v>0</v>
      </c>
      <c r="BW58" s="149">
        <f>IF($C58&gt;0,(IF($BU$7&gt;=$C58+1, (-FV(InflationRate,$BU$7,,$F58)), 0)),0)</f>
        <v>0</v>
      </c>
      <c r="BX58" s="157">
        <f>IF($C58&gt;0,(IF($BU$7&gt;=$C58+1, (-FV(InflationRate,$BU$7,,$G58)), 0)),0)</f>
        <v>0</v>
      </c>
      <c r="BY58" s="160">
        <f>IF($C58&gt;0,(IF($C58=$BY$7,(-FV(InflationRate,$BY$7,,$D58)),0)),0)</f>
        <v>0</v>
      </c>
      <c r="BZ58" s="150">
        <f>IF($C58&gt;0,(IF($BY$7&gt;=$C58+1, (-FV(InflationRate,$BY$7,,$E58)), 0)),0)</f>
        <v>0</v>
      </c>
      <c r="CA58" s="150">
        <f>IF($C58&gt;0,(IF($BY$7&gt;=$C58+1, (-FV(InflationRate,$BY$7,,$F58)), 0)),0)</f>
        <v>0</v>
      </c>
      <c r="CB58" s="176">
        <f>IF($C58&gt;0,(IF($BY$7&gt;=$C58+1, (-FV(InflationRate,$BY$7,,$G58)), 0)),0)</f>
        <v>0</v>
      </c>
      <c r="CC58" s="168">
        <f>IF($C58&gt;0,(IF($C58=$CC$7,(-FV(InflationRate,$CC$7,,$D58)),0)),0)</f>
        <v>0</v>
      </c>
      <c r="CD58" s="149">
        <f>IF($C58&gt;0,(IF($CC$7&gt;=$C58+1, (-FV(InflationRate,$CC$7,,$E58)), 0)),0)</f>
        <v>0</v>
      </c>
      <c r="CE58" s="149">
        <f>IF($C58&gt;0,(IF($CC$7&gt;=$C58+1, (-FV(InflationRate,$CC$7,,$F58)), 0)),0)</f>
        <v>0</v>
      </c>
      <c r="CF58" s="157">
        <f>IF($C58&gt;0,(IF($CC$7&gt;=$C58+1, (-FV(InflationRate,$CC$7,,$G58)), 0)),0)</f>
        <v>0</v>
      </c>
      <c r="CG58" s="160">
        <f>IF($C58&gt;0,(IF($C58=$CG$7,(-FV(InflationRate,$CG$7,,$D58)),0)),0)</f>
        <v>0</v>
      </c>
      <c r="CH58" s="150">
        <f>IF($C58&gt;0,(IF($CG$7&gt;=$C58+1, (-FV(InflationRate,$CG$7,,$E58)), 0)),0)</f>
        <v>0</v>
      </c>
      <c r="CI58" s="150">
        <f>IF($C58&gt;0,(IF($CG$7&gt;=$C58+1, (-FV(InflationRate,$CG$7,,$F58)), 0)),0)</f>
        <v>0</v>
      </c>
      <c r="CJ58" s="176">
        <f>IF($C58&gt;0,(IF($CG$7&gt;=$C58+1, (-FV(InflationRate,$CG$7,,$G58)), 0)),0)</f>
        <v>0</v>
      </c>
      <c r="CK58" s="168">
        <f>IF($C58&gt;0,(IF($C58=$CK$7,(-FV(InflationRate,$CK$7,,$D58)),0)),0)</f>
        <v>0</v>
      </c>
      <c r="CL58" s="149">
        <f>IF($C58&gt;0,(IF($CK$7&gt;=$C58+1, (-FV(InflationRate,$CK$7,,$E58)), 0)),0)</f>
        <v>0</v>
      </c>
      <c r="CM58" s="149">
        <f>IF($C58&gt;0,(IF($CK$7&gt;=$C58+1, (-FV(InflationRate,$CK$7,,$F58)), 0)),0)</f>
        <v>0</v>
      </c>
      <c r="CN58" s="157">
        <f>IF($C58&gt;0,(IF($CK$7&gt;=$C58+1, (-FV(InflationRate,$CK$7,,$G58)), 0)),0)</f>
        <v>0</v>
      </c>
      <c r="CO58" s="160">
        <f>IF($C58&gt;0,(IF($C58=$CO$7,(-FV(InflationRate,$CO$7,,$D58)),0)),0)</f>
        <v>0</v>
      </c>
      <c r="CP58" s="150">
        <f>IF($C58&gt;0,(IF($CO$7&gt;=$C58+1, (-FV(InflationRate,$CO$7,,$E58)), 0)),0)</f>
        <v>0</v>
      </c>
      <c r="CQ58" s="150">
        <f>IF($C58&gt;0,(IF($CO$7&gt;=$C58+1, (-FV(InflationRate,$CO$7,,$F58)), 0)),0)</f>
        <v>0</v>
      </c>
      <c r="CR58" s="176">
        <f>IF($C58&gt;0,(IF($CO$7&gt;=$C58+1, (-FV(InflationRate,$CO$7,,$G58)), 0)),0)</f>
        <v>0</v>
      </c>
      <c r="CS58" s="168">
        <f>IF($C58&gt;0,(IF($C58=$CS$7,(-FV(InflationRate,$CS$7,,$D58)),0)),0)</f>
        <v>0</v>
      </c>
      <c r="CT58" s="149">
        <f>IF($C58&gt;0,(IF($CS$7&gt;=$C58+1, (-FV(InflationRate,$CS$7,,$E58)), 0)),0)</f>
        <v>0</v>
      </c>
      <c r="CU58" s="149">
        <f>IF($C58&gt;0,(IF($CS$7&gt;=$C58+1, (-FV(InflationRate,$CS$7,,$F58)), 0)),0)</f>
        <v>0</v>
      </c>
      <c r="CV58" s="157">
        <f>IF($C58&gt;0,(IF($CS$7&gt;=$C58+1, (-FV(InflationRate,$CS$7,,$G58)), 0)),0)</f>
        <v>0</v>
      </c>
      <c r="CW58" s="160">
        <f>IF($C58&gt;0,(IF($C58=$CW$7,(-FV(InflationRate,$CW$7,,$D58)),0)),0)</f>
        <v>0</v>
      </c>
      <c r="CX58" s="150">
        <f>IF($C58&gt;0,(IF($CW$7&gt;=$C58+1, (-FV(InflationRate,$CW$7,,$E58)), 0)),0)</f>
        <v>0</v>
      </c>
      <c r="CY58" s="150">
        <f>IF($C58&gt;0,(IF($CW$7&gt;=$C58+1, (-FV(InflationRate,$CW$7,,$F58)), 0)),0)</f>
        <v>0</v>
      </c>
      <c r="CZ58" s="176">
        <f>IF($C58&gt;0,(IF($CW$7&gt;=$C58+1, (-FV(InflationRate,$CW$7,,$G58)), 0)),0)</f>
        <v>0</v>
      </c>
      <c r="DA58" s="168">
        <f>IF($C58&gt;0,(IF($C58=$DA$7,(-FV(InflationRate,$DA$7,,$D58)),0)),0)</f>
        <v>0</v>
      </c>
      <c r="DB58" s="149">
        <f>IF($C58&gt;0,(IF($DA$7&gt;=$C58+1, (-FV(InflationRate,$DA$7,,$E58)), 0)),0)</f>
        <v>0</v>
      </c>
      <c r="DC58" s="149">
        <f>IF($C58&gt;0,(IF($DA$7&gt;=$C58+1, (-FV(InflationRate,$DA$7,,$F58)), 0)),0)</f>
        <v>0</v>
      </c>
      <c r="DD58" s="157">
        <f>IF($C58&gt;0,(IF($DA$7&gt;=$C58+1, (-FV(InflationRate,$DA$7,,$G58)), 0)),0)</f>
        <v>0</v>
      </c>
    </row>
    <row r="59" spans="2:108" ht="12.75" hidden="1" customHeight="1" x14ac:dyDescent="0.2">
      <c r="B59" s="183" t="s">
        <v>270</v>
      </c>
      <c r="C59" s="556"/>
      <c r="D59" s="557">
        <v>0</v>
      </c>
      <c r="E59" s="558">
        <v>0</v>
      </c>
      <c r="F59" s="149"/>
      <c r="G59" s="558">
        <v>0</v>
      </c>
      <c r="H59" s="168">
        <f>SUM(I59:AB59)</f>
        <v>0</v>
      </c>
      <c r="I59" s="610">
        <f>-PV(InterestRate,I$8,,(SUM(AC59:AF59)))</f>
        <v>0</v>
      </c>
      <c r="J59" s="610">
        <f>-PV(InterestRate,J$8,,(SUM(AG59:AJ59)))</f>
        <v>0</v>
      </c>
      <c r="K59" s="610">
        <f>-PV(InterestRate,K$8,,(SUM(AK59:AN59)))</f>
        <v>0</v>
      </c>
      <c r="L59" s="610">
        <f>-PV(InterestRate,L$8,,(SUM(AO59:AR59)))</f>
        <v>0</v>
      </c>
      <c r="M59" s="610">
        <f>-PV(InterestRate,M$8,,(SUM(AS59:AV59)))</f>
        <v>0</v>
      </c>
      <c r="N59" s="610">
        <f>-PV(InterestRate,N$8,,(SUM(AW59:AZ59)))</f>
        <v>0</v>
      </c>
      <c r="O59" s="610">
        <f>-PV(InterestRate,O$8,,(SUM(BA59:BD59)))</f>
        <v>0</v>
      </c>
      <c r="P59" s="610">
        <f>-PV(InterestRate,P$8,,(SUM(BE59:BH59)))</f>
        <v>0</v>
      </c>
      <c r="Q59" s="610">
        <f>-PV(InterestRate,Q$8,,(SUM(BI59:BL59)))</f>
        <v>0</v>
      </c>
      <c r="R59" s="610">
        <f>-PV(InterestRate,R$8,,(SUM(BM59:BP59)))</f>
        <v>0</v>
      </c>
      <c r="S59" s="610">
        <f>-PV(InterestRate,S$8,,(SUM(BQ59:BT59)))</f>
        <v>0</v>
      </c>
      <c r="T59" s="610">
        <f>-PV(InterestRate,T$8,,(SUM(BU59:BX59)))</f>
        <v>0</v>
      </c>
      <c r="U59" s="610">
        <f>-PV(InterestRate,U$8,,(SUM(BY59:CB59)))</f>
        <v>0</v>
      </c>
      <c r="V59" s="610">
        <f>-PV(InterestRate,V$8,,(SUM(CC59:CF59)))</f>
        <v>0</v>
      </c>
      <c r="W59" s="610">
        <f>-PV(InterestRate,W$8,,(SUM(CG59:CJ59)))</f>
        <v>0</v>
      </c>
      <c r="X59" s="610">
        <f>-PV(InterestRate,X$8,,(SUM(CK59:CN59)))</f>
        <v>0</v>
      </c>
      <c r="Y59" s="610">
        <f>-PV(InterestRate,Y$8,,(SUM(CO59:CR59)))</f>
        <v>0</v>
      </c>
      <c r="Z59" s="610">
        <f>-PV(InterestRate,Z$8,,(SUM(CS59:CV59)))</f>
        <v>0</v>
      </c>
      <c r="AA59" s="610">
        <f>-PV(InterestRate,AA$8,,(SUM(CW59:CZ59)))</f>
        <v>0</v>
      </c>
      <c r="AB59" s="611">
        <f>-PV(InterestRate,AB$8,,(SUM(DA59:DD59)))</f>
        <v>0</v>
      </c>
      <c r="AC59" s="160">
        <f>IF($C59&gt;0,(IF($C59=$AC$7,$D59,0)),0)</f>
        <v>0</v>
      </c>
      <c r="AD59" s="150">
        <f>IF($C59&gt;0,(IF($AC$7&gt;=$C59+1,$E59,0)),0)</f>
        <v>0</v>
      </c>
      <c r="AE59" s="150">
        <f>IF($C59&gt;0,(IF($C59=$AC$7,$F59,0)),0)</f>
        <v>0</v>
      </c>
      <c r="AF59" s="165">
        <f>IF($C59&gt;0,(IF($AC$7&gt;=$C59+1,$G59,0)),0)</f>
        <v>0</v>
      </c>
      <c r="AG59" s="168">
        <f>IF($C59&gt;0,(IF($C59=$AG$7,(-FV(InflationRate,$AG$7,,$D59)),0)),0)</f>
        <v>0</v>
      </c>
      <c r="AH59" s="149">
        <f>IF($C59&gt;0,(IF($AG$7&gt;=$C59+1, (-FV(InflationRate,$AG$7,,$E59)), 0)),0)</f>
        <v>0</v>
      </c>
      <c r="AI59" s="149">
        <f>IF($C59&gt;0,(IF($AG$7&gt;=$C59+1, (-FV(InflationRate,$AG$7,,$F59)), 0)),0)</f>
        <v>0</v>
      </c>
      <c r="AJ59" s="171">
        <f>IF($C59&gt;0,(IF($AG$7&gt;=$C59+1, (-FV(InflationRate,$AG$7,,$G59)), 0)),0)</f>
        <v>0</v>
      </c>
      <c r="AK59" s="160">
        <f>IF($C59&gt;0,(IF($C59=$AK$7,(-FV(InflationRate,$AK$7,,$D59)),0)),0)</f>
        <v>0</v>
      </c>
      <c r="AL59" s="150">
        <f>IF($C59&gt;0,(IF($AK$7&gt;=$C59+1, (-FV(InflationRate,$AK$7,,$E59)), 0)),0)</f>
        <v>0</v>
      </c>
      <c r="AM59" s="150">
        <f>IF($C59&gt;0,(IF($AK$7&gt;=$C59+1, (-FV(InflationRate,$AK$7,,$F59)), 0)),0)</f>
        <v>0</v>
      </c>
      <c r="AN59" s="165">
        <f>IF($C59&gt;0,(IF($AK$7&gt;=$C59+1, (-FV(InflationRate,$AK$7,,$G59)), 0)),0)</f>
        <v>0</v>
      </c>
      <c r="AO59" s="168">
        <f>IF($C59&gt;0,(IF($C59=$AO$7,(-FV(InflationRate,$AO$7,,$D59)),0)),0)</f>
        <v>0</v>
      </c>
      <c r="AP59" s="149">
        <f>IF($C59&gt;0,(IF($AO$7&gt;=$C59+1, (-FV(InflationRate,$AO$7,,$E59)), 0)),0)</f>
        <v>0</v>
      </c>
      <c r="AQ59" s="149">
        <f>IF($C59&gt;0,(IF($AO$7&gt;=$C59+1, (-FV(InflationRate,$AO$7,,$F59)), 0)),0)</f>
        <v>0</v>
      </c>
      <c r="AR59" s="157">
        <f>IF($C59&gt;0,(IF($AO$7&gt;=$C59+1, (-FV(InflationRate,$AO$7,,$G59)), 0)),0)</f>
        <v>0</v>
      </c>
      <c r="AS59" s="160">
        <f>IF($C59&gt;0,(IF($C59=$AS$7,(-FV(InflationRate,$AS$7,,$D59)),0)),0)</f>
        <v>0</v>
      </c>
      <c r="AT59" s="150">
        <f>IF($C59&gt;0,(IF($AS$7&gt;=$C59+1, (-FV(InflationRate,$AS$7,,$E59)), 0)),0)</f>
        <v>0</v>
      </c>
      <c r="AU59" s="150">
        <f>IF($C59&gt;0,(IF($AS$7&gt;=$C59+1, (-FV(InflationRate,$AS$7,,$F59)), 0)),0)</f>
        <v>0</v>
      </c>
      <c r="AV59" s="165">
        <f>IF($C59&gt;0,(IF($AS$7&gt;=$C59+1, (-FV(InflationRate,$AS$7,,$G59)), 0)),0)</f>
        <v>0</v>
      </c>
      <c r="AW59" s="168">
        <f>IF($C59&gt;0,(IF($C59=$AW$7,(-FV(InflationRate,$AW$7,,$D59)),0)),0)</f>
        <v>0</v>
      </c>
      <c r="AX59" s="149">
        <f>IF($C59&gt;0,(IF($AW$7&gt;=$C59+1, (-FV(InflationRate,$AW$7,,$E59)), 0)),0)</f>
        <v>0</v>
      </c>
      <c r="AY59" s="149">
        <f>IF($C59&gt;0,(IF($AW$7&gt;=$C59+1, (-FV(InflationRate,$AW$7,,$F59)), 0)),0)</f>
        <v>0</v>
      </c>
      <c r="AZ59" s="157">
        <f>IF($C59&gt;0,(IF($AW$7&gt;=$C59+1, (-FV(InflationRate,$AW$7,,$G59)), 0)),0)</f>
        <v>0</v>
      </c>
      <c r="BA59" s="160">
        <f>IF($C59&gt;0,(IF($C59=$BA$7,(-FV(InflationRate,$BA$7,,$D59)),0)),0)</f>
        <v>0</v>
      </c>
      <c r="BB59" s="150">
        <f>IF($C59&gt;0,(IF($BA$7&gt;=$C59+1, (-FV(InflationRate,$BA$7,,$E59)), 0)),0)</f>
        <v>0</v>
      </c>
      <c r="BC59" s="150">
        <f>IF($C59&gt;0,(IF($BA$7&gt;=$C59+1, (-FV(InflationRate,$BA$7,,$F59)), 0)),0)</f>
        <v>0</v>
      </c>
      <c r="BD59" s="176">
        <f>IF($C59&gt;0,(IF($BA$7&gt;=$C59+1, (-FV(InflationRate,$BA$7,,$G59)), 0)),0)</f>
        <v>0</v>
      </c>
      <c r="BE59" s="168">
        <f>IF($C59&gt;0,(IF($C59=$BE$7,(-FV(InflationRate,$BE$7,,$D59)),0)),0)</f>
        <v>0</v>
      </c>
      <c r="BF59" s="149">
        <f>IF($C59&gt;0,(IF($BE$7&gt;=$C59+1, (-FV(InflationRate,$BE$7,,$E59)), 0)),0)</f>
        <v>0</v>
      </c>
      <c r="BG59" s="149">
        <f>IF($C59&gt;0,(IF($BE$7&gt;=$C59+1, (-FV(InflationRate,$BE$7,,$F59)), 0)),0)</f>
        <v>0</v>
      </c>
      <c r="BH59" s="171">
        <f>IF($C59&gt;0,(IF($BE$7&gt;=$C59+1, (-FV(InflationRate,$BE$7,,$G59)), 0)),0)</f>
        <v>0</v>
      </c>
      <c r="BI59" s="160">
        <f>IF($C59&gt;0,(IF($C59=$BI$7,(-FV(InflationRate,$BI$7,,$D59)),0)),0)</f>
        <v>0</v>
      </c>
      <c r="BJ59" s="150">
        <f>IF($C59&gt;0,(IF($BI$7&gt;=$C59+1, (-FV(InflationRate,$BI$7,,$E59)), 0)),0)</f>
        <v>0</v>
      </c>
      <c r="BK59" s="150">
        <f>IF($C59&gt;0,(IF($BI$7&gt;=$C59+1, (-FV(InflationRate,$BI$7,,$F59)), 0)),0)</f>
        <v>0</v>
      </c>
      <c r="BL59" s="176">
        <f>IF($C59&gt;0,(IF($BI$7&gt;=$C59+1, (-FV(InflationRate,$BI$7,,$G59)), 0)),0)</f>
        <v>0</v>
      </c>
      <c r="BM59" s="168">
        <f>IF($C59&gt;0,(IF($C59=$BM$7,(-FV(InflationRate,$BM$7,,$D59)),0)),0)</f>
        <v>0</v>
      </c>
      <c r="BN59" s="149">
        <f>IF($C59&gt;0,(IF($BM$7&gt;=$C59+1, (-FV(InflationRate,$BM$7,,$E59)), 0)),0)</f>
        <v>0</v>
      </c>
      <c r="BO59" s="149">
        <f>IF($C59&gt;0,(IF($BM$7&gt;=$C59+1, (-FV(InflationRate,$BM$7,,$F59)), 0)),0)</f>
        <v>0</v>
      </c>
      <c r="BP59" s="157">
        <f>IF($C59&gt;0,(IF($BM$7&gt;=$C59+1, (-FV(InflationRate,$BM$7,,$G59)), 0)),0)</f>
        <v>0</v>
      </c>
      <c r="BQ59" s="160">
        <f>IF($C59&gt;0,(IF($C59=$BQ$7,(-FV(InflationRate,$BQ$7,,$D59)),0)),0)</f>
        <v>0</v>
      </c>
      <c r="BR59" s="150">
        <f>IF($C59&gt;0,(IF($BQ$7&gt;=$C59+1, (-FV(InflationRate,$BQ$7,,$E59)), 0)),0)</f>
        <v>0</v>
      </c>
      <c r="BS59" s="150">
        <f>IF($C59&gt;0,(IF($BQ$7&gt;=$C59+1, (-FV(InflationRate,$BQ$7,,$F59)), 0)),0)</f>
        <v>0</v>
      </c>
      <c r="BT59" s="176">
        <f>IF($C59&gt;0,(IF($BQ$7&gt;=$C59+1, (-FV(InflationRate,$BQ$7,,$G59)), 0)),0)</f>
        <v>0</v>
      </c>
      <c r="BU59" s="168">
        <f>IF($C59&gt;0,(IF($C59=$BU$7,(-FV(InflationRate,$BU$7,,$D59)),0)),0)</f>
        <v>0</v>
      </c>
      <c r="BV59" s="149">
        <f>IF($C59&gt;0,(IF($BU$7&gt;=$C59+1, (-FV(InflationRate,$BU$7,,$E59)), 0)),0)</f>
        <v>0</v>
      </c>
      <c r="BW59" s="149">
        <f>IF($C59&gt;0,(IF($BU$7&gt;=$C59+1, (-FV(InflationRate,$BU$7,,$F59)), 0)),0)</f>
        <v>0</v>
      </c>
      <c r="BX59" s="157">
        <f>IF($C59&gt;0,(IF($BU$7&gt;=$C59+1, (-FV(InflationRate,$BU$7,,$G59)), 0)),0)</f>
        <v>0</v>
      </c>
      <c r="BY59" s="160">
        <f>IF($C59&gt;0,(IF($C59=$BY$7,(-FV(InflationRate,$BY$7,,$D59)),0)),0)</f>
        <v>0</v>
      </c>
      <c r="BZ59" s="150">
        <f>IF($C59&gt;0,(IF($BY$7&gt;=$C59+1, (-FV(InflationRate,$BY$7,,$E59)), 0)),0)</f>
        <v>0</v>
      </c>
      <c r="CA59" s="150">
        <f>IF($C59&gt;0,(IF($BY$7&gt;=$C59+1, (-FV(InflationRate,$BY$7,,$F59)), 0)),0)</f>
        <v>0</v>
      </c>
      <c r="CB59" s="176">
        <f>IF($C59&gt;0,(IF($BY$7&gt;=$C59+1, (-FV(InflationRate,$BY$7,,$G59)), 0)),0)</f>
        <v>0</v>
      </c>
      <c r="CC59" s="168">
        <f>IF($C59&gt;0,(IF($C59=$CC$7,(-FV(InflationRate,$CC$7,,$D59)),0)),0)</f>
        <v>0</v>
      </c>
      <c r="CD59" s="149">
        <f>IF($C59&gt;0,(IF($CC$7&gt;=$C59+1, (-FV(InflationRate,$CC$7,,$E59)), 0)),0)</f>
        <v>0</v>
      </c>
      <c r="CE59" s="149">
        <f>IF($C59&gt;0,(IF($CC$7&gt;=$C59+1, (-FV(InflationRate,$CC$7,,$F59)), 0)),0)</f>
        <v>0</v>
      </c>
      <c r="CF59" s="157">
        <f>IF($C59&gt;0,(IF($CC$7&gt;=$C59+1, (-FV(InflationRate,$CC$7,,$G59)), 0)),0)</f>
        <v>0</v>
      </c>
      <c r="CG59" s="160">
        <f>IF($C59&gt;0,(IF($C59=$CG$7,(-FV(InflationRate,$CG$7,,$D59)),0)),0)</f>
        <v>0</v>
      </c>
      <c r="CH59" s="150">
        <f>IF($C59&gt;0,(IF($CG$7&gt;=$C59+1, (-FV(InflationRate,$CG$7,,$E59)), 0)),0)</f>
        <v>0</v>
      </c>
      <c r="CI59" s="150">
        <f>IF($C59&gt;0,(IF($CG$7&gt;=$C59+1, (-FV(InflationRate,$CG$7,,$F59)), 0)),0)</f>
        <v>0</v>
      </c>
      <c r="CJ59" s="176">
        <f>IF($C59&gt;0,(IF($CG$7&gt;=$C59+1, (-FV(InflationRate,$CG$7,,$G59)), 0)),0)</f>
        <v>0</v>
      </c>
      <c r="CK59" s="168">
        <f>IF($C59&gt;0,(IF($C59=$CK$7,(-FV(InflationRate,$CK$7,,$D59)),0)),0)</f>
        <v>0</v>
      </c>
      <c r="CL59" s="149">
        <f>IF($C59&gt;0,(IF($CK$7&gt;=$C59+1, (-FV(InflationRate,$CK$7,,$E59)), 0)),0)</f>
        <v>0</v>
      </c>
      <c r="CM59" s="149">
        <f>IF($C59&gt;0,(IF($CK$7&gt;=$C59+1, (-FV(InflationRate,$CK$7,,$F59)), 0)),0)</f>
        <v>0</v>
      </c>
      <c r="CN59" s="157">
        <f>IF($C59&gt;0,(IF($CK$7&gt;=$C59+1, (-FV(InflationRate,$CK$7,,$G59)), 0)),0)</f>
        <v>0</v>
      </c>
      <c r="CO59" s="160">
        <f>IF($C59&gt;0,(IF($C59=$CO$7,(-FV(InflationRate,$CO$7,,$D59)),0)),0)</f>
        <v>0</v>
      </c>
      <c r="CP59" s="150">
        <f>IF($C59&gt;0,(IF($CO$7&gt;=$C59+1, (-FV(InflationRate,$CO$7,,$E59)), 0)),0)</f>
        <v>0</v>
      </c>
      <c r="CQ59" s="150">
        <f>IF($C59&gt;0,(IF($CO$7&gt;=$C59+1, (-FV(InflationRate,$CO$7,,$F59)), 0)),0)</f>
        <v>0</v>
      </c>
      <c r="CR59" s="176">
        <f>IF($C59&gt;0,(IF($CO$7&gt;=$C59+1, (-FV(InflationRate,$CO$7,,$G59)), 0)),0)</f>
        <v>0</v>
      </c>
      <c r="CS59" s="168">
        <f>IF($C59&gt;0,(IF($C59=$CS$7,(-FV(InflationRate,$CS$7,,$D59)),0)),0)</f>
        <v>0</v>
      </c>
      <c r="CT59" s="149">
        <f>IF($C59&gt;0,(IF($CS$7&gt;=$C59+1, (-FV(InflationRate,$CS$7,,$E59)), 0)),0)</f>
        <v>0</v>
      </c>
      <c r="CU59" s="149">
        <f>IF($C59&gt;0,(IF($CS$7&gt;=$C59+1, (-FV(InflationRate,$CS$7,,$F59)), 0)),0)</f>
        <v>0</v>
      </c>
      <c r="CV59" s="157">
        <f>IF($C59&gt;0,(IF($CS$7&gt;=$C59+1, (-FV(InflationRate,$CS$7,,$G59)), 0)),0)</f>
        <v>0</v>
      </c>
      <c r="CW59" s="160">
        <f>IF($C59&gt;0,(IF($C59=$CW$7,(-FV(InflationRate,$CW$7,,$D59)),0)),0)</f>
        <v>0</v>
      </c>
      <c r="CX59" s="150">
        <f>IF($C59&gt;0,(IF($CW$7&gt;=$C59+1, (-FV(InflationRate,$CW$7,,$E59)), 0)),0)</f>
        <v>0</v>
      </c>
      <c r="CY59" s="150">
        <f>IF($C59&gt;0,(IF($CW$7&gt;=$C59+1, (-FV(InflationRate,$CW$7,,$F59)), 0)),0)</f>
        <v>0</v>
      </c>
      <c r="CZ59" s="176">
        <f>IF($C59&gt;0,(IF($CW$7&gt;=$C59+1, (-FV(InflationRate,$CW$7,,$G59)), 0)),0)</f>
        <v>0</v>
      </c>
      <c r="DA59" s="168">
        <f>IF($C59&gt;0,(IF($C59=$DA$7,(-FV(InflationRate,$DA$7,,$D59)),0)),0)</f>
        <v>0</v>
      </c>
      <c r="DB59" s="149">
        <f>IF($C59&gt;0,(IF($DA$7&gt;=$C59+1, (-FV(InflationRate,$DA$7,,$E59)), 0)),0)</f>
        <v>0</v>
      </c>
      <c r="DC59" s="149">
        <f>IF($C59&gt;0,(IF($DA$7&gt;=$C59+1, (-FV(InflationRate,$DA$7,,$F59)), 0)),0)</f>
        <v>0</v>
      </c>
      <c r="DD59" s="157">
        <f>IF($C59&gt;0,(IF($DA$7&gt;=$C59+1, (-FV(InflationRate,$DA$7,,$G59)), 0)),0)</f>
        <v>0</v>
      </c>
    </row>
    <row r="60" spans="2:108" ht="12.75" hidden="1" customHeight="1" x14ac:dyDescent="0.2">
      <c r="B60" s="183" t="s">
        <v>203</v>
      </c>
      <c r="C60" s="556"/>
      <c r="D60" s="168"/>
      <c r="E60" s="149"/>
      <c r="F60" s="558">
        <v>0</v>
      </c>
      <c r="G60" s="149"/>
      <c r="H60" s="168">
        <f>SUM(I60:AB60)</f>
        <v>0</v>
      </c>
      <c r="I60" s="610">
        <f>-PV(InterestRate,I$8,,(SUM(AC60:AF60)))</f>
        <v>0</v>
      </c>
      <c r="J60" s="610">
        <f>-PV(InterestRate,J$8,,(SUM(AG60:AJ60)))</f>
        <v>0</v>
      </c>
      <c r="K60" s="610">
        <f>-PV(InterestRate,K$8,,(SUM(AK60:AN60)))</f>
        <v>0</v>
      </c>
      <c r="L60" s="610">
        <f>-PV(InterestRate,L$8,,(SUM(AO60:AR60)))</f>
        <v>0</v>
      </c>
      <c r="M60" s="610">
        <f>-PV(InterestRate,M$8,,(SUM(AS60:AV60)))</f>
        <v>0</v>
      </c>
      <c r="N60" s="610">
        <f>-PV(InterestRate,N$8,,(SUM(AW60:AZ60)))</f>
        <v>0</v>
      </c>
      <c r="O60" s="610">
        <f>-PV(InterestRate,O$8,,(SUM(BA60:BD60)))</f>
        <v>0</v>
      </c>
      <c r="P60" s="610">
        <f>-PV(InterestRate,P$8,,(SUM(BE60:BH60)))</f>
        <v>0</v>
      </c>
      <c r="Q60" s="610">
        <f>-PV(InterestRate,Q$8,,(SUM(BI60:BL60)))</f>
        <v>0</v>
      </c>
      <c r="R60" s="610">
        <f>-PV(InterestRate,R$8,,(SUM(BM60:BP60)))</f>
        <v>0</v>
      </c>
      <c r="S60" s="610">
        <f>-PV(InterestRate,S$8,,(SUM(BQ60:BT60)))</f>
        <v>0</v>
      </c>
      <c r="T60" s="610">
        <f>-PV(InterestRate,T$8,,(SUM(BU60:BX60)))</f>
        <v>0</v>
      </c>
      <c r="U60" s="610">
        <f>-PV(InterestRate,U$8,,(SUM(BY60:CB60)))</f>
        <v>0</v>
      </c>
      <c r="V60" s="610">
        <f>-PV(InterestRate,V$8,,(SUM(CC60:CF60)))</f>
        <v>0</v>
      </c>
      <c r="W60" s="610">
        <f>-PV(InterestRate,W$8,,(SUM(CG60:CJ60)))</f>
        <v>0</v>
      </c>
      <c r="X60" s="610">
        <f>-PV(InterestRate,X$8,,(SUM(CK60:CN60)))</f>
        <v>0</v>
      </c>
      <c r="Y60" s="610">
        <f>-PV(InterestRate,Y$8,,(SUM(CO60:CR60)))</f>
        <v>0</v>
      </c>
      <c r="Z60" s="610">
        <f>-PV(InterestRate,Z$8,,(SUM(CS60:CV60)))</f>
        <v>0</v>
      </c>
      <c r="AA60" s="610">
        <f>-PV(InterestRate,AA$8,,(SUM(CW60:CZ60)))</f>
        <v>0</v>
      </c>
      <c r="AB60" s="611">
        <f>-PV(InterestRate,AB$8,,(SUM(DA60:DD60)))</f>
        <v>0</v>
      </c>
      <c r="AC60" s="160">
        <f>IF($C60&gt;0,(IF($C60=$AC$7,$D60,0)),0)</f>
        <v>0</v>
      </c>
      <c r="AD60" s="150">
        <f>IF($C60&gt;0,(IF($AC$7&gt;=$C60+1,$E60,0)),0)</f>
        <v>0</v>
      </c>
      <c r="AE60" s="150">
        <f>IF($C60&gt;0,(IF($C60=$AC$7,$F60,0)),0)</f>
        <v>0</v>
      </c>
      <c r="AF60" s="165">
        <f>IF($C60&gt;0,(IF($AC$7&gt;=$C60+1,$G60,0)),0)</f>
        <v>0</v>
      </c>
      <c r="AG60" s="168">
        <f>IF($C60&gt;0,(IF($C60=$AG$7,(-FV(InflationRate,$AG$7,,$D60)),0)),0)</f>
        <v>0</v>
      </c>
      <c r="AH60" s="149">
        <f>IF($C60&gt;0,(IF($AG$7&gt;=$C60+1, (-FV(InflationRate,$AG$7,,$E60)), 0)),0)</f>
        <v>0</v>
      </c>
      <c r="AI60" s="149">
        <f>IF($C60&gt;0,(IF($AG$7&gt;=$C60+1, (-FV(InflationRate,$AG$7,,$F60)), 0)),0)</f>
        <v>0</v>
      </c>
      <c r="AJ60" s="171">
        <f>IF($C60&gt;0,(IF($AG$7&gt;=$C60+1, (-FV(InflationRate,$AG$7,,$G60)), 0)),0)</f>
        <v>0</v>
      </c>
      <c r="AK60" s="160">
        <f>IF($C60&gt;0,(IF($C60=$AK$7,(-FV(InflationRate,$AK$7,,$D60)),0)),0)</f>
        <v>0</v>
      </c>
      <c r="AL60" s="150">
        <f>IF($C60&gt;0,(IF($AK$7&gt;=$C60+1, (-FV(InflationRate,$AK$7,,$E60)), 0)),0)</f>
        <v>0</v>
      </c>
      <c r="AM60" s="150">
        <f>IF($C60&gt;0,(IF($AK$7&gt;=$C60+1, (-FV(InflationRate,$AK$7,,$F60)), 0)),0)</f>
        <v>0</v>
      </c>
      <c r="AN60" s="165">
        <f>IF($C60&gt;0,(IF($AK$7&gt;=$C60+1, (-FV(InflationRate,$AK$7,,$G60)), 0)),0)</f>
        <v>0</v>
      </c>
      <c r="AO60" s="168">
        <f>IF($C60&gt;0,(IF($C60=$AO$7,(-FV(InflationRate,$AO$7,,$D60)),0)),0)</f>
        <v>0</v>
      </c>
      <c r="AP60" s="149">
        <f>IF($C60&gt;0,(IF($AO$7&gt;=$C60+1, (-FV(InflationRate,$AO$7,,$E60)), 0)),0)</f>
        <v>0</v>
      </c>
      <c r="AQ60" s="149">
        <f>IF($C60&gt;0,(IF($AO$7&gt;=$C60+1, (-FV(InflationRate,$AO$7,,$F60)), 0)),0)</f>
        <v>0</v>
      </c>
      <c r="AR60" s="157">
        <f>IF($C60&gt;0,(IF($AO$7&gt;=$C60+1, (-FV(InflationRate,$AO$7,,$G60)), 0)),0)</f>
        <v>0</v>
      </c>
      <c r="AS60" s="160">
        <f>IF($C60&gt;0,(IF($C60=$AS$7,(-FV(InflationRate,$AS$7,,$D60)),0)),0)</f>
        <v>0</v>
      </c>
      <c r="AT60" s="150">
        <f>IF($C60&gt;0,(IF($AS$7&gt;=$C60+1, (-FV(InflationRate,$AS$7,,$E60)), 0)),0)</f>
        <v>0</v>
      </c>
      <c r="AU60" s="150">
        <f>IF($C60&gt;0,(IF($AS$7&gt;=$C60+1, (-FV(InflationRate,$AS$7,,$F60)), 0)),0)</f>
        <v>0</v>
      </c>
      <c r="AV60" s="165">
        <f>IF($C60&gt;0,(IF($AS$7&gt;=$C60+1, (-FV(InflationRate,$AS$7,,$G60)), 0)),0)</f>
        <v>0</v>
      </c>
      <c r="AW60" s="168">
        <f>IF($C60&gt;0,(IF($C60=$AW$7,(-FV(InflationRate,$AW$7,,$D60)),0)),0)</f>
        <v>0</v>
      </c>
      <c r="AX60" s="149">
        <f>IF($C60&gt;0,(IF($AW$7&gt;=$C60+1, (-FV(InflationRate,$AW$7,,$E60)), 0)),0)</f>
        <v>0</v>
      </c>
      <c r="AY60" s="149">
        <f>IF($C60&gt;0,(IF($AW$7&gt;=$C60+1, (-FV(InflationRate,$AW$7,,$F60)), 0)),0)</f>
        <v>0</v>
      </c>
      <c r="AZ60" s="157">
        <f>IF($C60&gt;0,(IF($AW$7&gt;=$C60+1, (-FV(InflationRate,$AW$7,,$G60)), 0)),0)</f>
        <v>0</v>
      </c>
      <c r="BA60" s="160">
        <f>IF($C60&gt;0,(IF($C60=$BA$7,(-FV(InflationRate,$BA$7,,$D60)),0)),0)</f>
        <v>0</v>
      </c>
      <c r="BB60" s="150">
        <f>IF($C60&gt;0,(IF($BA$7&gt;=$C60+1, (-FV(InflationRate,$BA$7,,$E60)), 0)),0)</f>
        <v>0</v>
      </c>
      <c r="BC60" s="150">
        <f>IF($C60&gt;0,(IF($BA$7&gt;=$C60+1, (-FV(InflationRate,$BA$7,,$F60)), 0)),0)</f>
        <v>0</v>
      </c>
      <c r="BD60" s="176">
        <f>IF($C60&gt;0,(IF($BA$7&gt;=$C60+1, (-FV(InflationRate,$BA$7,,$G60)), 0)),0)</f>
        <v>0</v>
      </c>
      <c r="BE60" s="168">
        <f>IF($C60&gt;0,(IF($C60=$BE$7,(-FV(InflationRate,$BE$7,,$D60)),0)),0)</f>
        <v>0</v>
      </c>
      <c r="BF60" s="149">
        <f>IF($C60&gt;0,(IF($BE$7&gt;=$C60+1, (-FV(InflationRate,$BE$7,,$E60)), 0)),0)</f>
        <v>0</v>
      </c>
      <c r="BG60" s="149">
        <f>IF($C60&gt;0,(IF($BE$7&gt;=$C60+1, (-FV(InflationRate,$BE$7,,$F60)), 0)),0)</f>
        <v>0</v>
      </c>
      <c r="BH60" s="171">
        <f>IF($C60&gt;0,(IF($BE$7&gt;=$C60+1, (-FV(InflationRate,$BE$7,,$G60)), 0)),0)</f>
        <v>0</v>
      </c>
      <c r="BI60" s="160">
        <f>IF($C60&gt;0,(IF($C60=$BI$7,(-FV(InflationRate,$BI$7,,$D60)),0)),0)</f>
        <v>0</v>
      </c>
      <c r="BJ60" s="150">
        <f>IF($C60&gt;0,(IF($BI$7&gt;=$C60+1, (-FV(InflationRate,$BI$7,,$E60)), 0)),0)</f>
        <v>0</v>
      </c>
      <c r="BK60" s="150">
        <f>IF($C60&gt;0,(IF($BI$7&gt;=$C60+1, (-FV(InflationRate,$BI$7,,$F60)), 0)),0)</f>
        <v>0</v>
      </c>
      <c r="BL60" s="176">
        <f>IF($C60&gt;0,(IF($BI$7&gt;=$C60+1, (-FV(InflationRate,$BI$7,,$G60)), 0)),0)</f>
        <v>0</v>
      </c>
      <c r="BM60" s="168">
        <f>IF($C60&gt;0,(IF($C60=$BM$7,(-FV(InflationRate,$BM$7,,$D60)),0)),0)</f>
        <v>0</v>
      </c>
      <c r="BN60" s="149">
        <f>IF($C60&gt;0,(IF($BM$7&gt;=$C60+1, (-FV(InflationRate,$BM$7,,$E60)), 0)),0)</f>
        <v>0</v>
      </c>
      <c r="BO60" s="149">
        <f>IF($C60&gt;0,(IF($BM$7&gt;=$C60+1, (-FV(InflationRate,$BM$7,,$F60)), 0)),0)</f>
        <v>0</v>
      </c>
      <c r="BP60" s="157">
        <f>IF($C60&gt;0,(IF($BM$7&gt;=$C60+1, (-FV(InflationRate,$BM$7,,$G60)), 0)),0)</f>
        <v>0</v>
      </c>
      <c r="BQ60" s="160">
        <f>IF($C60&gt;0,(IF($C60=$BQ$7,(-FV(InflationRate,$BQ$7,,$D60)),0)),0)</f>
        <v>0</v>
      </c>
      <c r="BR60" s="150">
        <f>IF($C60&gt;0,(IF($BQ$7&gt;=$C60+1, (-FV(InflationRate,$BQ$7,,$E60)), 0)),0)</f>
        <v>0</v>
      </c>
      <c r="BS60" s="150">
        <f>IF($C60&gt;0,(IF($BQ$7&gt;=$C60+1, (-FV(InflationRate,$BQ$7,,$F60)), 0)),0)</f>
        <v>0</v>
      </c>
      <c r="BT60" s="176">
        <f>IF($C60&gt;0,(IF($BQ$7&gt;=$C60+1, (-FV(InflationRate,$BQ$7,,$G60)), 0)),0)</f>
        <v>0</v>
      </c>
      <c r="BU60" s="168">
        <f>IF($C60&gt;0,(IF($C60=$BU$7,(-FV(InflationRate,$BU$7,,$D60)),0)),0)</f>
        <v>0</v>
      </c>
      <c r="BV60" s="149">
        <f>IF($C60&gt;0,(IF($BU$7&gt;=$C60+1, (-FV(InflationRate,$BU$7,,$E60)), 0)),0)</f>
        <v>0</v>
      </c>
      <c r="BW60" s="149">
        <f>IF($C60&gt;0,(IF($BU$7&gt;=$C60+1, (-FV(InflationRate,$BU$7,,$F60)), 0)),0)</f>
        <v>0</v>
      </c>
      <c r="BX60" s="157">
        <f>IF($C60&gt;0,(IF($BU$7&gt;=$C60+1, (-FV(InflationRate,$BU$7,,$G60)), 0)),0)</f>
        <v>0</v>
      </c>
      <c r="BY60" s="160">
        <f>IF($C60&gt;0,(IF($C60=$BY$7,(-FV(InflationRate,$BY$7,,$D60)),0)),0)</f>
        <v>0</v>
      </c>
      <c r="BZ60" s="150">
        <f>IF($C60&gt;0,(IF($BY$7&gt;=$C60+1, (-FV(InflationRate,$BY$7,,$E60)), 0)),0)</f>
        <v>0</v>
      </c>
      <c r="CA60" s="150">
        <f>IF($C60&gt;0,(IF($BY$7&gt;=$C60+1, (-FV(InflationRate,$BY$7,,$F60)), 0)),0)</f>
        <v>0</v>
      </c>
      <c r="CB60" s="176">
        <f>IF($C60&gt;0,(IF($BY$7&gt;=$C60+1, (-FV(InflationRate,$BY$7,,$G60)), 0)),0)</f>
        <v>0</v>
      </c>
      <c r="CC60" s="168">
        <f>IF($C60&gt;0,(IF($C60=$CC$7,(-FV(InflationRate,$CC$7,,$D60)),0)),0)</f>
        <v>0</v>
      </c>
      <c r="CD60" s="149">
        <f>IF($C60&gt;0,(IF($CC$7&gt;=$C60+1, (-FV(InflationRate,$CC$7,,$E60)), 0)),0)</f>
        <v>0</v>
      </c>
      <c r="CE60" s="149">
        <f>IF($C60&gt;0,(IF($CC$7&gt;=$C60+1, (-FV(InflationRate,$CC$7,,$F60)), 0)),0)</f>
        <v>0</v>
      </c>
      <c r="CF60" s="157">
        <f>IF($C60&gt;0,(IF($CC$7&gt;=$C60+1, (-FV(InflationRate,$CC$7,,$G60)), 0)),0)</f>
        <v>0</v>
      </c>
      <c r="CG60" s="160">
        <f>IF($C60&gt;0,(IF($C60=$CG$7,(-FV(InflationRate,$CG$7,,$D60)),0)),0)</f>
        <v>0</v>
      </c>
      <c r="CH60" s="150">
        <f>IF($C60&gt;0,(IF($CG$7&gt;=$C60+1, (-FV(InflationRate,$CG$7,,$E60)), 0)),0)</f>
        <v>0</v>
      </c>
      <c r="CI60" s="150">
        <f>IF($C60&gt;0,(IF($CG$7&gt;=$C60+1, (-FV(InflationRate,$CG$7,,$F60)), 0)),0)</f>
        <v>0</v>
      </c>
      <c r="CJ60" s="176">
        <f>IF($C60&gt;0,(IF($CG$7&gt;=$C60+1, (-FV(InflationRate,$CG$7,,$G60)), 0)),0)</f>
        <v>0</v>
      </c>
      <c r="CK60" s="168">
        <f>IF($C60&gt;0,(IF($C60=$CK$7,(-FV(InflationRate,$CK$7,,$D60)),0)),0)</f>
        <v>0</v>
      </c>
      <c r="CL60" s="149">
        <f>IF($C60&gt;0,(IF($CK$7&gt;=$C60+1, (-FV(InflationRate,$CK$7,,$E60)), 0)),0)</f>
        <v>0</v>
      </c>
      <c r="CM60" s="149">
        <f>IF($C60&gt;0,(IF($CK$7&gt;=$C60+1, (-FV(InflationRate,$CK$7,,$F60)), 0)),0)</f>
        <v>0</v>
      </c>
      <c r="CN60" s="157">
        <f>IF($C60&gt;0,(IF($CK$7&gt;=$C60+1, (-FV(InflationRate,$CK$7,,$G60)), 0)),0)</f>
        <v>0</v>
      </c>
      <c r="CO60" s="160">
        <f>IF($C60&gt;0,(IF($C60=$CO$7,(-FV(InflationRate,$CO$7,,$D60)),0)),0)</f>
        <v>0</v>
      </c>
      <c r="CP60" s="150">
        <f>IF($C60&gt;0,(IF($CO$7&gt;=$C60+1, (-FV(InflationRate,$CO$7,,$E60)), 0)),0)</f>
        <v>0</v>
      </c>
      <c r="CQ60" s="150">
        <f>IF($C60&gt;0,(IF($CO$7&gt;=$C60+1, (-FV(InflationRate,$CO$7,,$F60)), 0)),0)</f>
        <v>0</v>
      </c>
      <c r="CR60" s="176">
        <f>IF($C60&gt;0,(IF($CO$7&gt;=$C60+1, (-FV(InflationRate,$CO$7,,$G60)), 0)),0)</f>
        <v>0</v>
      </c>
      <c r="CS60" s="168">
        <f>IF($C60&gt;0,(IF($C60=$CS$7,(-FV(InflationRate,$CS$7,,$D60)),0)),0)</f>
        <v>0</v>
      </c>
      <c r="CT60" s="149">
        <f>IF($C60&gt;0,(IF($CS$7&gt;=$C60+1, (-FV(InflationRate,$CS$7,,$E60)), 0)),0)</f>
        <v>0</v>
      </c>
      <c r="CU60" s="149">
        <f>IF($C60&gt;0,(IF($CS$7&gt;=$C60+1, (-FV(InflationRate,$CS$7,,$F60)), 0)),0)</f>
        <v>0</v>
      </c>
      <c r="CV60" s="157">
        <f>IF($C60&gt;0,(IF($CS$7&gt;=$C60+1, (-FV(InflationRate,$CS$7,,$G60)), 0)),0)</f>
        <v>0</v>
      </c>
      <c r="CW60" s="160">
        <f>IF($C60&gt;0,(IF($C60=$CW$7,(-FV(InflationRate,$CW$7,,$D60)),0)),0)</f>
        <v>0</v>
      </c>
      <c r="CX60" s="150">
        <f>IF($C60&gt;0,(IF($CW$7&gt;=$C60+1, (-FV(InflationRate,$CW$7,,$E60)), 0)),0)</f>
        <v>0</v>
      </c>
      <c r="CY60" s="150">
        <f>IF($C60&gt;0,(IF($CW$7&gt;=$C60+1, (-FV(InflationRate,$CW$7,,$F60)), 0)),0)</f>
        <v>0</v>
      </c>
      <c r="CZ60" s="176">
        <f>IF($C60&gt;0,(IF($CW$7&gt;=$C60+1, (-FV(InflationRate,$CW$7,,$G60)), 0)),0)</f>
        <v>0</v>
      </c>
      <c r="DA60" s="168">
        <f>IF($C60&gt;0,(IF($C60=$DA$7,(-FV(InflationRate,$DA$7,,$D60)),0)),0)</f>
        <v>0</v>
      </c>
      <c r="DB60" s="149">
        <f>IF($C60&gt;0,(IF($DA$7&gt;=$C60+1, (-FV(InflationRate,$DA$7,,$E60)), 0)),0)</f>
        <v>0</v>
      </c>
      <c r="DC60" s="149">
        <f>IF($C60&gt;0,(IF($DA$7&gt;=$C60+1, (-FV(InflationRate,$DA$7,,$F60)), 0)),0)</f>
        <v>0</v>
      </c>
      <c r="DD60" s="157">
        <f>IF($C60&gt;0,(IF($DA$7&gt;=$C60+1, (-FV(InflationRate,$DA$7,,$G60)), 0)),0)</f>
        <v>0</v>
      </c>
    </row>
    <row r="61" spans="2:108" ht="12.75" hidden="1" customHeight="1" x14ac:dyDescent="0.2">
      <c r="B61" s="182" t="s">
        <v>221</v>
      </c>
      <c r="C61" s="189"/>
      <c r="D61" s="168"/>
      <c r="E61" s="149"/>
      <c r="F61" s="149"/>
      <c r="G61" s="149"/>
      <c r="H61" s="168"/>
      <c r="I61" s="600"/>
      <c r="J61" s="600"/>
      <c r="K61" s="600"/>
      <c r="L61" s="600"/>
      <c r="M61" s="600"/>
      <c r="N61" s="600"/>
      <c r="O61" s="600"/>
      <c r="P61" s="600"/>
      <c r="Q61" s="600"/>
      <c r="R61" s="600"/>
      <c r="S61" s="600"/>
      <c r="T61" s="600"/>
      <c r="U61" s="600"/>
      <c r="V61" s="600"/>
      <c r="W61" s="600"/>
      <c r="X61" s="600"/>
      <c r="Y61" s="600"/>
      <c r="Z61" s="600"/>
      <c r="AA61" s="600"/>
      <c r="AB61" s="601"/>
      <c r="AC61" s="160"/>
      <c r="AD61" s="150"/>
      <c r="AE61" s="150"/>
      <c r="AF61" s="165"/>
      <c r="AG61" s="168"/>
      <c r="AH61" s="149"/>
      <c r="AI61" s="149"/>
      <c r="AJ61" s="171"/>
      <c r="AK61" s="160"/>
      <c r="AL61" s="150"/>
      <c r="AM61" s="150"/>
      <c r="AN61" s="165"/>
      <c r="AO61" s="168"/>
      <c r="AP61" s="149"/>
      <c r="AQ61" s="149"/>
      <c r="AR61" s="157"/>
      <c r="AS61" s="160"/>
      <c r="AT61" s="150"/>
      <c r="AU61" s="150"/>
      <c r="AV61" s="165"/>
      <c r="AW61" s="168"/>
      <c r="AX61" s="149"/>
      <c r="AY61" s="149"/>
      <c r="AZ61" s="157"/>
      <c r="BA61" s="160"/>
      <c r="BB61" s="150"/>
      <c r="BC61" s="150"/>
      <c r="BD61" s="176"/>
      <c r="BE61" s="168"/>
      <c r="BF61" s="149"/>
      <c r="BG61" s="149"/>
      <c r="BH61" s="171"/>
      <c r="BI61" s="160"/>
      <c r="BJ61" s="150"/>
      <c r="BK61" s="150"/>
      <c r="BL61" s="176"/>
      <c r="BM61" s="168"/>
      <c r="BN61" s="149"/>
      <c r="BO61" s="149"/>
      <c r="BP61" s="157"/>
      <c r="BQ61" s="160"/>
      <c r="BR61" s="150"/>
      <c r="BS61" s="150"/>
      <c r="BT61" s="176"/>
      <c r="BU61" s="168"/>
      <c r="BV61" s="149"/>
      <c r="BW61" s="149"/>
      <c r="BX61" s="157"/>
      <c r="BY61" s="160"/>
      <c r="BZ61" s="150"/>
      <c r="CA61" s="150"/>
      <c r="CB61" s="176"/>
      <c r="CC61" s="168"/>
      <c r="CD61" s="149"/>
      <c r="CE61" s="149"/>
      <c r="CF61" s="157"/>
      <c r="CG61" s="160"/>
      <c r="CH61" s="150"/>
      <c r="CI61" s="150"/>
      <c r="CJ61" s="176"/>
      <c r="CK61" s="168"/>
      <c r="CL61" s="149"/>
      <c r="CM61" s="149"/>
      <c r="CN61" s="157"/>
      <c r="CO61" s="160"/>
      <c r="CP61" s="150"/>
      <c r="CQ61" s="150"/>
      <c r="CR61" s="176"/>
      <c r="CS61" s="168"/>
      <c r="CT61" s="149"/>
      <c r="CU61" s="149"/>
      <c r="CV61" s="157"/>
      <c r="CW61" s="160"/>
      <c r="CX61" s="150"/>
      <c r="CY61" s="150"/>
      <c r="CZ61" s="176"/>
      <c r="DA61" s="168"/>
      <c r="DB61" s="149"/>
      <c r="DC61" s="149"/>
      <c r="DD61" s="157"/>
    </row>
    <row r="62" spans="2:108" ht="12.75" hidden="1" customHeight="1" x14ac:dyDescent="0.2">
      <c r="B62" s="183" t="s">
        <v>220</v>
      </c>
      <c r="C62" s="556"/>
      <c r="D62" s="557">
        <v>0</v>
      </c>
      <c r="E62" s="149"/>
      <c r="F62" s="149"/>
      <c r="G62" s="149"/>
      <c r="H62" s="168">
        <f>SUM(I62:AB62)</f>
        <v>0</v>
      </c>
      <c r="I62" s="610">
        <f>-PV(InterestRate,I$8,,(SUM(AC62:AF62)))</f>
        <v>0</v>
      </c>
      <c r="J62" s="610">
        <f>-PV(InterestRate,J$8,,(SUM(AG62:AJ62)))</f>
        <v>0</v>
      </c>
      <c r="K62" s="610">
        <f>-PV(InterestRate,K$8,,(SUM(AK62:AN62)))</f>
        <v>0</v>
      </c>
      <c r="L62" s="610">
        <f>-PV(InterestRate,L$8,,(SUM(AO62:AR62)))</f>
        <v>0</v>
      </c>
      <c r="M62" s="610">
        <f>-PV(InterestRate,M$8,,(SUM(AS62:AV62)))</f>
        <v>0</v>
      </c>
      <c r="N62" s="610">
        <f>-PV(InterestRate,N$8,,(SUM(AW62:AZ62)))</f>
        <v>0</v>
      </c>
      <c r="O62" s="610">
        <f>-PV(InterestRate,O$8,,(SUM(BA62:BD62)))</f>
        <v>0</v>
      </c>
      <c r="P62" s="610">
        <f>-PV(InterestRate,P$8,,(SUM(BE62:BH62)))</f>
        <v>0</v>
      </c>
      <c r="Q62" s="610">
        <f>-PV(InterestRate,Q$8,,(SUM(BI62:BL62)))</f>
        <v>0</v>
      </c>
      <c r="R62" s="610">
        <f>-PV(InterestRate,R$8,,(SUM(BM62:BP62)))</f>
        <v>0</v>
      </c>
      <c r="S62" s="610">
        <f>-PV(InterestRate,S$8,,(SUM(BQ62:BT62)))</f>
        <v>0</v>
      </c>
      <c r="T62" s="610">
        <f>-PV(InterestRate,T$8,,(SUM(BU62:BX62)))</f>
        <v>0</v>
      </c>
      <c r="U62" s="610">
        <f>-PV(InterestRate,U$8,,(SUM(BY62:CB62)))</f>
        <v>0</v>
      </c>
      <c r="V62" s="610">
        <f>-PV(InterestRate,V$8,,(SUM(CC62:CF62)))</f>
        <v>0</v>
      </c>
      <c r="W62" s="610">
        <f>-PV(InterestRate,W$8,,(SUM(CG62:CJ62)))</f>
        <v>0</v>
      </c>
      <c r="X62" s="610">
        <f>-PV(InterestRate,X$8,,(SUM(CK62:CN62)))</f>
        <v>0</v>
      </c>
      <c r="Y62" s="610">
        <f>-PV(InterestRate,Y$8,,(SUM(CO62:CR62)))</f>
        <v>0</v>
      </c>
      <c r="Z62" s="610">
        <f>-PV(InterestRate,Z$8,,(SUM(CS62:CV62)))</f>
        <v>0</v>
      </c>
      <c r="AA62" s="610">
        <f>-PV(InterestRate,AA$8,,(SUM(CW62:CZ62)))</f>
        <v>0</v>
      </c>
      <c r="AB62" s="611">
        <f>-PV(InterestRate,AB$8,,(SUM(DA62:DD62)))</f>
        <v>0</v>
      </c>
      <c r="AC62" s="160">
        <f>IF($C62&gt;0,(IF($C62=$AC$7,$D62,0)),0)</f>
        <v>0</v>
      </c>
      <c r="AD62" s="150">
        <f>IF($C62&gt;0,(IF($AC$7&gt;=$C62+1,$E62,0)),0)</f>
        <v>0</v>
      </c>
      <c r="AE62" s="150">
        <f>IF($C62&gt;0,(IF($C62=$AC$7,$F62,0)),0)</f>
        <v>0</v>
      </c>
      <c r="AF62" s="165">
        <f>IF($C62&gt;0,(IF($AC$7&gt;=$C62+1,$G62,0)),0)</f>
        <v>0</v>
      </c>
      <c r="AG62" s="168">
        <f>IF($C62&gt;0,(IF($C62=$AG$7,(-FV(InflationRate,$AG$7,,$D62)),0)),0)</f>
        <v>0</v>
      </c>
      <c r="AH62" s="149">
        <f>IF($C62&gt;0,(IF($AG$7&gt;=$C62+1, (-FV(InflationRate,$AG$7,,$E62)), 0)),0)</f>
        <v>0</v>
      </c>
      <c r="AI62" s="149">
        <f>IF($C62&gt;0,(IF($AG$7&gt;=$C62+1, (-FV(InflationRate,$AG$7,,$F62)), 0)),0)</f>
        <v>0</v>
      </c>
      <c r="AJ62" s="171">
        <f>IF($C62&gt;0,(IF($AG$7&gt;=$C62+1, (-FV(InflationRate,$AG$7,,$G62)), 0)),0)</f>
        <v>0</v>
      </c>
      <c r="AK62" s="160">
        <f>IF($C62&gt;0,(IF($C62=$AK$7,(-FV(InflationRate,$AK$7,,$D62)),0)),0)</f>
        <v>0</v>
      </c>
      <c r="AL62" s="150">
        <f>IF($C62&gt;0,(IF($AK$7&gt;=$C62+1, (-FV(InflationRate,$AK$7,,$E62)), 0)),0)</f>
        <v>0</v>
      </c>
      <c r="AM62" s="150">
        <f>IF($C62&gt;0,(IF($AK$7&gt;=$C62+1, (-FV(InflationRate,$AK$7,,$F62)), 0)),0)</f>
        <v>0</v>
      </c>
      <c r="AN62" s="165">
        <f>IF($C62&gt;0,(IF($AK$7&gt;=$C62+1, (-FV(InflationRate,$AK$7,,$G62)), 0)),0)</f>
        <v>0</v>
      </c>
      <c r="AO62" s="168">
        <f>IF($C62&gt;0,(IF($C62=$AO$7,(-FV(InflationRate,$AO$7,,$D62)),0)),0)</f>
        <v>0</v>
      </c>
      <c r="AP62" s="149">
        <f>IF($C62&gt;0,(IF($AO$7&gt;=$C62+1, (-FV(InflationRate,$AO$7,,$E62)), 0)),0)</f>
        <v>0</v>
      </c>
      <c r="AQ62" s="149">
        <f>IF($C62&gt;0,(IF($AO$7&gt;=$C62+1, (-FV(InflationRate,$AO$7,,$F62)), 0)),0)</f>
        <v>0</v>
      </c>
      <c r="AR62" s="157">
        <f>IF($C62&gt;0,(IF($AO$7&gt;=$C62+1, (-FV(InflationRate,$AO$7,,$G62)), 0)),0)</f>
        <v>0</v>
      </c>
      <c r="AS62" s="160">
        <f>IF($C62&gt;0,(IF($C62=$AS$7,(-FV(InflationRate,$AS$7,,$D62)),0)),0)</f>
        <v>0</v>
      </c>
      <c r="AT62" s="150">
        <f>IF($C62&gt;0,(IF($AS$7&gt;=$C62+1, (-FV(InflationRate,$AS$7,,$E62)), 0)),0)</f>
        <v>0</v>
      </c>
      <c r="AU62" s="150">
        <f>IF($C62&gt;0,(IF($AS$7&gt;=$C62+1, (-FV(InflationRate,$AS$7,,$F62)), 0)),0)</f>
        <v>0</v>
      </c>
      <c r="AV62" s="165">
        <f>IF($C62&gt;0,(IF($AS$7&gt;=$C62+1, (-FV(InflationRate,$AS$7,,$G62)), 0)),0)</f>
        <v>0</v>
      </c>
      <c r="AW62" s="168">
        <f>IF($C62&gt;0,(IF($C62=$AW$7,(-FV(InflationRate,$AW$7,,$D62)),0)),0)</f>
        <v>0</v>
      </c>
      <c r="AX62" s="149">
        <f>IF($C62&gt;0,(IF($AW$7&gt;=$C62+1, (-FV(InflationRate,$AW$7,,$E62)), 0)),0)</f>
        <v>0</v>
      </c>
      <c r="AY62" s="149">
        <f>IF($C62&gt;0,(IF($AW$7&gt;=$C62+1, (-FV(InflationRate,$AW$7,,$F62)), 0)),0)</f>
        <v>0</v>
      </c>
      <c r="AZ62" s="157">
        <f>IF($C62&gt;0,(IF($AW$7&gt;=$C62+1, (-FV(InflationRate,$AW$7,,$G62)), 0)),0)</f>
        <v>0</v>
      </c>
      <c r="BA62" s="160">
        <f>IF($C62&gt;0,(IF($C62=$BA$7,(-FV(InflationRate,$BA$7,,$D62)),0)),0)</f>
        <v>0</v>
      </c>
      <c r="BB62" s="150">
        <f>IF($C62&gt;0,(IF($BA$7&gt;=$C62+1, (-FV(InflationRate,$BA$7,,$E62)), 0)),0)</f>
        <v>0</v>
      </c>
      <c r="BC62" s="150">
        <f>IF($C62&gt;0,(IF($BA$7&gt;=$C62+1, (-FV(InflationRate,$BA$7,,$F62)), 0)),0)</f>
        <v>0</v>
      </c>
      <c r="BD62" s="176">
        <f>IF($C62&gt;0,(IF($BA$7&gt;=$C62+1, (-FV(InflationRate,$BA$7,,$G62)), 0)),0)</f>
        <v>0</v>
      </c>
      <c r="BE62" s="168">
        <f>IF($C62&gt;0,(IF($C62=$BE$7,(-FV(InflationRate,$BE$7,,$D62)),0)),0)</f>
        <v>0</v>
      </c>
      <c r="BF62" s="149">
        <f>IF($C62&gt;0,(IF($BE$7&gt;=$C62+1, (-FV(InflationRate,$BE$7,,$E62)), 0)),0)</f>
        <v>0</v>
      </c>
      <c r="BG62" s="149">
        <f>IF($C62&gt;0,(IF($BE$7&gt;=$C62+1, (-FV(InflationRate,$BE$7,,$F62)), 0)),0)</f>
        <v>0</v>
      </c>
      <c r="BH62" s="171">
        <f>IF($C62&gt;0,(IF($BE$7&gt;=$C62+1, (-FV(InflationRate,$BE$7,,$G62)), 0)),0)</f>
        <v>0</v>
      </c>
      <c r="BI62" s="160">
        <f>IF($C62&gt;0,(IF($C62=$BI$7,(-FV(InflationRate,$BI$7,,$D62)),0)),0)</f>
        <v>0</v>
      </c>
      <c r="BJ62" s="150">
        <f>IF($C62&gt;0,(IF($BI$7&gt;=$C62+1, (-FV(InflationRate,$BI$7,,$E62)), 0)),0)</f>
        <v>0</v>
      </c>
      <c r="BK62" s="150">
        <f>IF($C62&gt;0,(IF($BI$7&gt;=$C62+1, (-FV(InflationRate,$BI$7,,$F62)), 0)),0)</f>
        <v>0</v>
      </c>
      <c r="BL62" s="176">
        <f>IF($C62&gt;0,(IF($BI$7&gt;=$C62+1, (-FV(InflationRate,$BI$7,,$G62)), 0)),0)</f>
        <v>0</v>
      </c>
      <c r="BM62" s="168">
        <f>IF($C62&gt;0,(IF($C62=$BM$7,(-FV(InflationRate,$BM$7,,$D62)),0)),0)</f>
        <v>0</v>
      </c>
      <c r="BN62" s="149">
        <f>IF($C62&gt;0,(IF($BM$7&gt;=$C62+1, (-FV(InflationRate,$BM$7,,$E62)), 0)),0)</f>
        <v>0</v>
      </c>
      <c r="BO62" s="149">
        <f>IF($C62&gt;0,(IF($BM$7&gt;=$C62+1, (-FV(InflationRate,$BM$7,,$F62)), 0)),0)</f>
        <v>0</v>
      </c>
      <c r="BP62" s="157">
        <f>IF($C62&gt;0,(IF($BM$7&gt;=$C62+1, (-FV(InflationRate,$BM$7,,$G62)), 0)),0)</f>
        <v>0</v>
      </c>
      <c r="BQ62" s="160">
        <f>IF($C62&gt;0,(IF($C62=$BQ$7,(-FV(InflationRate,$BQ$7,,$D62)),0)),0)</f>
        <v>0</v>
      </c>
      <c r="BR62" s="150">
        <f>IF($C62&gt;0,(IF($BQ$7&gt;=$C62+1, (-FV(InflationRate,$BQ$7,,$E62)), 0)),0)</f>
        <v>0</v>
      </c>
      <c r="BS62" s="150">
        <f>IF($C62&gt;0,(IF($BQ$7&gt;=$C62+1, (-FV(InflationRate,$BQ$7,,$F62)), 0)),0)</f>
        <v>0</v>
      </c>
      <c r="BT62" s="176">
        <f>IF($C62&gt;0,(IF($BQ$7&gt;=$C62+1, (-FV(InflationRate,$BQ$7,,$G62)), 0)),0)</f>
        <v>0</v>
      </c>
      <c r="BU62" s="168">
        <f>IF($C62&gt;0,(IF($C62=$BU$7,(-FV(InflationRate,$BU$7,,$D62)),0)),0)</f>
        <v>0</v>
      </c>
      <c r="BV62" s="149">
        <f>IF($C62&gt;0,(IF($BU$7&gt;=$C62+1, (-FV(InflationRate,$BU$7,,$E62)), 0)),0)</f>
        <v>0</v>
      </c>
      <c r="BW62" s="149">
        <f>IF($C62&gt;0,(IF($BU$7&gt;=$C62+1, (-FV(InflationRate,$BU$7,,$F62)), 0)),0)</f>
        <v>0</v>
      </c>
      <c r="BX62" s="157">
        <f>IF($C62&gt;0,(IF($BU$7&gt;=$C62+1, (-FV(InflationRate,$BU$7,,$G62)), 0)),0)</f>
        <v>0</v>
      </c>
      <c r="BY62" s="160">
        <f>IF($C62&gt;0,(IF($C62=$BY$7,(-FV(InflationRate,$BY$7,,$D62)),0)),0)</f>
        <v>0</v>
      </c>
      <c r="BZ62" s="150">
        <f>IF($C62&gt;0,(IF($BY$7&gt;=$C62+1, (-FV(InflationRate,$BY$7,,$E62)), 0)),0)</f>
        <v>0</v>
      </c>
      <c r="CA62" s="150">
        <f>IF($C62&gt;0,(IF($BY$7&gt;=$C62+1, (-FV(InflationRate,$BY$7,,$F62)), 0)),0)</f>
        <v>0</v>
      </c>
      <c r="CB62" s="176">
        <f>IF($C62&gt;0,(IF($BY$7&gt;=$C62+1, (-FV(InflationRate,$BY$7,,$G62)), 0)),0)</f>
        <v>0</v>
      </c>
      <c r="CC62" s="168">
        <f>IF($C62&gt;0,(IF($C62=$CC$7,(-FV(InflationRate,$CC$7,,$D62)),0)),0)</f>
        <v>0</v>
      </c>
      <c r="CD62" s="149">
        <f>IF($C62&gt;0,(IF($CC$7&gt;=$C62+1, (-FV(InflationRate,$CC$7,,$E62)), 0)),0)</f>
        <v>0</v>
      </c>
      <c r="CE62" s="149">
        <f>IF($C62&gt;0,(IF($CC$7&gt;=$C62+1, (-FV(InflationRate,$CC$7,,$F62)), 0)),0)</f>
        <v>0</v>
      </c>
      <c r="CF62" s="157">
        <f>IF($C62&gt;0,(IF($CC$7&gt;=$C62+1, (-FV(InflationRate,$CC$7,,$G62)), 0)),0)</f>
        <v>0</v>
      </c>
      <c r="CG62" s="160">
        <f>IF($C62&gt;0,(IF($C62=$CG$7,(-FV(InflationRate,$CG$7,,$D62)),0)),0)</f>
        <v>0</v>
      </c>
      <c r="CH62" s="150">
        <f>IF($C62&gt;0,(IF($CG$7&gt;=$C62+1, (-FV(InflationRate,$CG$7,,$E62)), 0)),0)</f>
        <v>0</v>
      </c>
      <c r="CI62" s="150">
        <f>IF($C62&gt;0,(IF($CG$7&gt;=$C62+1, (-FV(InflationRate,$CG$7,,$F62)), 0)),0)</f>
        <v>0</v>
      </c>
      <c r="CJ62" s="176">
        <f>IF($C62&gt;0,(IF($CG$7&gt;=$C62+1, (-FV(InflationRate,$CG$7,,$G62)), 0)),0)</f>
        <v>0</v>
      </c>
      <c r="CK62" s="168">
        <f>IF($C62&gt;0,(IF($C62=$CK$7,(-FV(InflationRate,$CK$7,,$D62)),0)),0)</f>
        <v>0</v>
      </c>
      <c r="CL62" s="149">
        <f>IF($C62&gt;0,(IF($CK$7&gt;=$C62+1, (-FV(InflationRate,$CK$7,,$E62)), 0)),0)</f>
        <v>0</v>
      </c>
      <c r="CM62" s="149">
        <f>IF($C62&gt;0,(IF($CK$7&gt;=$C62+1, (-FV(InflationRate,$CK$7,,$F62)), 0)),0)</f>
        <v>0</v>
      </c>
      <c r="CN62" s="157">
        <f>IF($C62&gt;0,(IF($CK$7&gt;=$C62+1, (-FV(InflationRate,$CK$7,,$G62)), 0)),0)</f>
        <v>0</v>
      </c>
      <c r="CO62" s="160">
        <f>IF($C62&gt;0,(IF($C62=$CO$7,(-FV(InflationRate,$CO$7,,$D62)),0)),0)</f>
        <v>0</v>
      </c>
      <c r="CP62" s="150">
        <f>IF($C62&gt;0,(IF($CO$7&gt;=$C62+1, (-FV(InflationRate,$CO$7,,$E62)), 0)),0)</f>
        <v>0</v>
      </c>
      <c r="CQ62" s="150">
        <f>IF($C62&gt;0,(IF($CO$7&gt;=$C62+1, (-FV(InflationRate,$CO$7,,$F62)), 0)),0)</f>
        <v>0</v>
      </c>
      <c r="CR62" s="176">
        <f>IF($C62&gt;0,(IF($CO$7&gt;=$C62+1, (-FV(InflationRate,$CO$7,,$G62)), 0)),0)</f>
        <v>0</v>
      </c>
      <c r="CS62" s="168">
        <f>IF($C62&gt;0,(IF($C62=$CS$7,(-FV(InflationRate,$CS$7,,$D62)),0)),0)</f>
        <v>0</v>
      </c>
      <c r="CT62" s="149">
        <f>IF($C62&gt;0,(IF($CS$7&gt;=$C62+1, (-FV(InflationRate,$CS$7,,$E62)), 0)),0)</f>
        <v>0</v>
      </c>
      <c r="CU62" s="149">
        <f>IF($C62&gt;0,(IF($CS$7&gt;=$C62+1, (-FV(InflationRate,$CS$7,,$F62)), 0)),0)</f>
        <v>0</v>
      </c>
      <c r="CV62" s="157">
        <f>IF($C62&gt;0,(IF($CS$7&gt;=$C62+1, (-FV(InflationRate,$CS$7,,$G62)), 0)),0)</f>
        <v>0</v>
      </c>
      <c r="CW62" s="160">
        <f>IF($C62&gt;0,(IF($C62=$CW$7,(-FV(InflationRate,$CW$7,,$D62)),0)),0)</f>
        <v>0</v>
      </c>
      <c r="CX62" s="150">
        <f>IF($C62&gt;0,(IF($CW$7&gt;=$C62+1, (-FV(InflationRate,$CW$7,,$E62)), 0)),0)</f>
        <v>0</v>
      </c>
      <c r="CY62" s="150">
        <f>IF($C62&gt;0,(IF($CW$7&gt;=$C62+1, (-FV(InflationRate,$CW$7,,$F62)), 0)),0)</f>
        <v>0</v>
      </c>
      <c r="CZ62" s="176">
        <f>IF($C62&gt;0,(IF($CW$7&gt;=$C62+1, (-FV(InflationRate,$CW$7,,$G62)), 0)),0)</f>
        <v>0</v>
      </c>
      <c r="DA62" s="168">
        <f>IF($C62&gt;0,(IF($C62=$DA$7,(-FV(InflationRate,$DA$7,,$D62)),0)),0)</f>
        <v>0</v>
      </c>
      <c r="DB62" s="149">
        <f>IF($C62&gt;0,(IF($DA$7&gt;=$C62+1, (-FV(InflationRate,$DA$7,,$E62)), 0)),0)</f>
        <v>0</v>
      </c>
      <c r="DC62" s="149">
        <f>IF($C62&gt;0,(IF($DA$7&gt;=$C62+1, (-FV(InflationRate,$DA$7,,$F62)), 0)),0)</f>
        <v>0</v>
      </c>
      <c r="DD62" s="157">
        <f>IF($C62&gt;0,(IF($DA$7&gt;=$C62+1, (-FV(InflationRate,$DA$7,,$G62)), 0)),0)</f>
        <v>0</v>
      </c>
    </row>
    <row r="63" spans="2:108" ht="12.75" hidden="1" customHeight="1" x14ac:dyDescent="0.2">
      <c r="B63" s="183" t="s">
        <v>270</v>
      </c>
      <c r="C63" s="556"/>
      <c r="D63" s="168">
        <f>D48-D50-D51-D54-D55-D58-D59-D62</f>
        <v>0</v>
      </c>
      <c r="E63" s="149">
        <f>E48-E51-E55-E59</f>
        <v>0</v>
      </c>
      <c r="F63" s="149"/>
      <c r="G63" s="149">
        <f>G48-G51-G55-G59</f>
        <v>0</v>
      </c>
      <c r="H63" s="168">
        <f>SUM(I63:AB63)</f>
        <v>0</v>
      </c>
      <c r="I63" s="610">
        <f>-PV(InterestRate,I$8,,(SUM(AC63:AF63)))</f>
        <v>0</v>
      </c>
      <c r="J63" s="610">
        <f>-PV(InterestRate,J$8,,(SUM(AG63:AJ63)))</f>
        <v>0</v>
      </c>
      <c r="K63" s="610">
        <f>-PV(InterestRate,K$8,,(SUM(AK63:AN63)))</f>
        <v>0</v>
      </c>
      <c r="L63" s="610">
        <f>-PV(InterestRate,L$8,,(SUM(AO63:AR63)))</f>
        <v>0</v>
      </c>
      <c r="M63" s="610">
        <f>-PV(InterestRate,M$8,,(SUM(AS63:AV63)))</f>
        <v>0</v>
      </c>
      <c r="N63" s="610">
        <f>-PV(InterestRate,N$8,,(SUM(AW63:AZ63)))</f>
        <v>0</v>
      </c>
      <c r="O63" s="610">
        <f>-PV(InterestRate,O$8,,(SUM(BA63:BD63)))</f>
        <v>0</v>
      </c>
      <c r="P63" s="610">
        <f>-PV(InterestRate,P$8,,(SUM(BE63:BH63)))</f>
        <v>0</v>
      </c>
      <c r="Q63" s="610">
        <f>-PV(InterestRate,Q$8,,(SUM(BI63:BL63)))</f>
        <v>0</v>
      </c>
      <c r="R63" s="610">
        <f>-PV(InterestRate,R$8,,(SUM(BM63:BP63)))</f>
        <v>0</v>
      </c>
      <c r="S63" s="610">
        <f>-PV(InterestRate,S$8,,(SUM(BQ63:BT63)))</f>
        <v>0</v>
      </c>
      <c r="T63" s="610">
        <f>-PV(InterestRate,T$8,,(SUM(BU63:BX63)))</f>
        <v>0</v>
      </c>
      <c r="U63" s="610">
        <f>-PV(InterestRate,U$8,,(SUM(BY63:CB63)))</f>
        <v>0</v>
      </c>
      <c r="V63" s="610">
        <f>-PV(InterestRate,V$8,,(SUM(CC63:CF63)))</f>
        <v>0</v>
      </c>
      <c r="W63" s="610">
        <f>-PV(InterestRate,W$8,,(SUM(CG63:CJ63)))</f>
        <v>0</v>
      </c>
      <c r="X63" s="610">
        <f>-PV(InterestRate,X$8,,(SUM(CK63:CN63)))</f>
        <v>0</v>
      </c>
      <c r="Y63" s="610">
        <f>-PV(InterestRate,Y$8,,(SUM(CO63:CR63)))</f>
        <v>0</v>
      </c>
      <c r="Z63" s="610">
        <f>-PV(InterestRate,Z$8,,(SUM(CS63:CV63)))</f>
        <v>0</v>
      </c>
      <c r="AA63" s="610">
        <f>-PV(InterestRate,AA$8,,(SUM(CW63:CZ63)))</f>
        <v>0</v>
      </c>
      <c r="AB63" s="611">
        <f>-PV(InterestRate,AB$8,,(SUM(DA63:DD63)))</f>
        <v>0</v>
      </c>
      <c r="AC63" s="160">
        <f>IF($C63&gt;0,(IF($C63=$AC$7,$D63,0)),0)</f>
        <v>0</v>
      </c>
      <c r="AD63" s="150">
        <f>IF($C63&gt;0,(IF($AC$7&gt;=$C63+1,$E63,0)),0)</f>
        <v>0</v>
      </c>
      <c r="AE63" s="150">
        <f>IF($C63&gt;0,(IF($C63=$AC$7,$F63,0)),0)</f>
        <v>0</v>
      </c>
      <c r="AF63" s="165">
        <f>IF($C63&gt;0,(IF($AC$7&gt;=$C63+1,$G63,0)),0)</f>
        <v>0</v>
      </c>
      <c r="AG63" s="168">
        <f>IF($C63&gt;0,(IF($C63=$AG$7,(-FV(InflationRate,$AG$7,,$D63)),0)),0)</f>
        <v>0</v>
      </c>
      <c r="AH63" s="149">
        <f>IF($C63&gt;0,(IF($AG$7&gt;=$C63+1, (-FV(InflationRate,$AG$7,,$E63)), 0)),0)</f>
        <v>0</v>
      </c>
      <c r="AI63" s="149">
        <f>IF($C63&gt;0,(IF($AG$7&gt;=$C63+1, (-FV(InflationRate,$AG$7,,$F63)), 0)),0)</f>
        <v>0</v>
      </c>
      <c r="AJ63" s="171">
        <f>IF($C63&gt;0,(IF($AG$7&gt;=$C63+1, (-FV(InflationRate,$AG$7,,$G63)), 0)),0)</f>
        <v>0</v>
      </c>
      <c r="AK63" s="160">
        <f>IF($C63&gt;0,(IF($C63=$AK$7,(-FV(InflationRate,$AK$7,,$D63)),0)),0)</f>
        <v>0</v>
      </c>
      <c r="AL63" s="150">
        <f>IF($C63&gt;0,(IF($AK$7&gt;=$C63+1, (-FV(InflationRate,$AK$7,,$E63)), 0)),0)</f>
        <v>0</v>
      </c>
      <c r="AM63" s="150">
        <f>IF($C63&gt;0,(IF($AK$7&gt;=$C63+1, (-FV(InflationRate,$AK$7,,$F63)), 0)),0)</f>
        <v>0</v>
      </c>
      <c r="AN63" s="165">
        <f>IF($C63&gt;0,(IF($AK$7&gt;=$C63+1, (-FV(InflationRate,$AK$7,,$G63)), 0)),0)</f>
        <v>0</v>
      </c>
      <c r="AO63" s="168">
        <f>IF($C63&gt;0,(IF($C63=$AO$7,(-FV(InflationRate,$AO$7,,$D63)),0)),0)</f>
        <v>0</v>
      </c>
      <c r="AP63" s="149">
        <f>IF($C63&gt;0,(IF($AO$7&gt;=$C63+1, (-FV(InflationRate,$AO$7,,$E63)), 0)),0)</f>
        <v>0</v>
      </c>
      <c r="AQ63" s="149">
        <f>IF($C63&gt;0,(IF($AO$7&gt;=$C63+1, (-FV(InflationRate,$AO$7,,$F63)), 0)),0)</f>
        <v>0</v>
      </c>
      <c r="AR63" s="157">
        <f>IF($C63&gt;0,(IF($AO$7&gt;=$C63+1, (-FV(InflationRate,$AO$7,,$G63)), 0)),0)</f>
        <v>0</v>
      </c>
      <c r="AS63" s="160">
        <f>IF($C63&gt;0,(IF($C63=$AS$7,(-FV(InflationRate,$AS$7,,$D63)),0)),0)</f>
        <v>0</v>
      </c>
      <c r="AT63" s="150">
        <f>IF($C63&gt;0,(IF($AS$7&gt;=$C63+1, (-FV(InflationRate,$AS$7,,$E63)), 0)),0)</f>
        <v>0</v>
      </c>
      <c r="AU63" s="150">
        <f>IF($C63&gt;0,(IF($AS$7&gt;=$C63+1, (-FV(InflationRate,$AS$7,,$F63)), 0)),0)</f>
        <v>0</v>
      </c>
      <c r="AV63" s="165">
        <f>IF($C63&gt;0,(IF($AS$7&gt;=$C63+1, (-FV(InflationRate,$AS$7,,$G63)), 0)),0)</f>
        <v>0</v>
      </c>
      <c r="AW63" s="168">
        <f>IF($C63&gt;0,(IF($C63=$AW$7,(-FV(InflationRate,$AW$7,,$D63)),0)),0)</f>
        <v>0</v>
      </c>
      <c r="AX63" s="149">
        <f>IF($C63&gt;0,(IF($AW$7&gt;=$C63+1, (-FV(InflationRate,$AW$7,,$E63)), 0)),0)</f>
        <v>0</v>
      </c>
      <c r="AY63" s="149">
        <f>IF($C63&gt;0,(IF($AW$7&gt;=$C63+1, (-FV(InflationRate,$AW$7,,$F63)), 0)),0)</f>
        <v>0</v>
      </c>
      <c r="AZ63" s="157">
        <f>IF($C63&gt;0,(IF($AW$7&gt;=$C63+1, (-FV(InflationRate,$AW$7,,$G63)), 0)),0)</f>
        <v>0</v>
      </c>
      <c r="BA63" s="160">
        <f>IF($C63&gt;0,(IF($C63=$BA$7,(-FV(InflationRate,$BA$7,,$D63)),0)),0)</f>
        <v>0</v>
      </c>
      <c r="BB63" s="150">
        <f>IF($C63&gt;0,(IF($BA$7&gt;=$C63+1, (-FV(InflationRate,$BA$7,,$E63)), 0)),0)</f>
        <v>0</v>
      </c>
      <c r="BC63" s="150">
        <f>IF($C63&gt;0,(IF($BA$7&gt;=$C63+1, (-FV(InflationRate,$BA$7,,$F63)), 0)),0)</f>
        <v>0</v>
      </c>
      <c r="BD63" s="176">
        <f>IF($C63&gt;0,(IF($BA$7&gt;=$C63+1, (-FV(InflationRate,$BA$7,,$G63)), 0)),0)</f>
        <v>0</v>
      </c>
      <c r="BE63" s="168">
        <f>IF($C63&gt;0,(IF($C63=$BE$7,(-FV(InflationRate,$BE$7,,$D63)),0)),0)</f>
        <v>0</v>
      </c>
      <c r="BF63" s="149">
        <f>IF($C63&gt;0,(IF($BE$7&gt;=$C63+1, (-FV(InflationRate,$BE$7,,$E63)), 0)),0)</f>
        <v>0</v>
      </c>
      <c r="BG63" s="149">
        <f>IF($C63&gt;0,(IF($BE$7&gt;=$C63+1, (-FV(InflationRate,$BE$7,,$F63)), 0)),0)</f>
        <v>0</v>
      </c>
      <c r="BH63" s="171">
        <f>IF($C63&gt;0,(IF($BE$7&gt;=$C63+1, (-FV(InflationRate,$BE$7,,$G63)), 0)),0)</f>
        <v>0</v>
      </c>
      <c r="BI63" s="160">
        <f>IF($C63&gt;0,(IF($C63=$BI$7,(-FV(InflationRate,$BI$7,,$D63)),0)),0)</f>
        <v>0</v>
      </c>
      <c r="BJ63" s="150">
        <f>IF($C63&gt;0,(IF($BI$7&gt;=$C63+1, (-FV(InflationRate,$BI$7,,$E63)), 0)),0)</f>
        <v>0</v>
      </c>
      <c r="BK63" s="150">
        <f>IF($C63&gt;0,(IF($BI$7&gt;=$C63+1, (-FV(InflationRate,$BI$7,,$F63)), 0)),0)</f>
        <v>0</v>
      </c>
      <c r="BL63" s="176">
        <f>IF($C63&gt;0,(IF($BI$7&gt;=$C63+1, (-FV(InflationRate,$BI$7,,$G63)), 0)),0)</f>
        <v>0</v>
      </c>
      <c r="BM63" s="168">
        <f>IF($C63&gt;0,(IF($C63=$BM$7,(-FV(InflationRate,$BM$7,,$D63)),0)),0)</f>
        <v>0</v>
      </c>
      <c r="BN63" s="149">
        <f>IF($C63&gt;0,(IF($BM$7&gt;=$C63+1, (-FV(InflationRate,$BM$7,,$E63)), 0)),0)</f>
        <v>0</v>
      </c>
      <c r="BO63" s="149">
        <f>IF($C63&gt;0,(IF($BM$7&gt;=$C63+1, (-FV(InflationRate,$BM$7,,$F63)), 0)),0)</f>
        <v>0</v>
      </c>
      <c r="BP63" s="157">
        <f>IF($C63&gt;0,(IF($BM$7&gt;=$C63+1, (-FV(InflationRate,$BM$7,,$G63)), 0)),0)</f>
        <v>0</v>
      </c>
      <c r="BQ63" s="160">
        <f>IF($C63&gt;0,(IF($C63=$BQ$7,(-FV(InflationRate,$BQ$7,,$D63)),0)),0)</f>
        <v>0</v>
      </c>
      <c r="BR63" s="150">
        <f>IF($C63&gt;0,(IF($BQ$7&gt;=$C63+1, (-FV(InflationRate,$BQ$7,,$E63)), 0)),0)</f>
        <v>0</v>
      </c>
      <c r="BS63" s="150">
        <f>IF($C63&gt;0,(IF($BQ$7&gt;=$C63+1, (-FV(InflationRate,$BQ$7,,$F63)), 0)),0)</f>
        <v>0</v>
      </c>
      <c r="BT63" s="176">
        <f>IF($C63&gt;0,(IF($BQ$7&gt;=$C63+1, (-FV(InflationRate,$BQ$7,,$G63)), 0)),0)</f>
        <v>0</v>
      </c>
      <c r="BU63" s="168">
        <f>IF($C63&gt;0,(IF($C63=$BU$7,(-FV(InflationRate,$BU$7,,$D63)),0)),0)</f>
        <v>0</v>
      </c>
      <c r="BV63" s="149">
        <f>IF($C63&gt;0,(IF($BU$7&gt;=$C63+1, (-FV(InflationRate,$BU$7,,$E63)), 0)),0)</f>
        <v>0</v>
      </c>
      <c r="BW63" s="149">
        <f>IF($C63&gt;0,(IF($BU$7&gt;=$C63+1, (-FV(InflationRate,$BU$7,,$F63)), 0)),0)</f>
        <v>0</v>
      </c>
      <c r="BX63" s="157">
        <f>IF($C63&gt;0,(IF($BU$7&gt;=$C63+1, (-FV(InflationRate,$BU$7,,$G63)), 0)),0)</f>
        <v>0</v>
      </c>
      <c r="BY63" s="160">
        <f>IF($C63&gt;0,(IF($C63=$BY$7,(-FV(InflationRate,$BY$7,,$D63)),0)),0)</f>
        <v>0</v>
      </c>
      <c r="BZ63" s="150">
        <f>IF($C63&gt;0,(IF($BY$7&gt;=$C63+1, (-FV(InflationRate,$BY$7,,$E63)), 0)),0)</f>
        <v>0</v>
      </c>
      <c r="CA63" s="150">
        <f>IF($C63&gt;0,(IF($BY$7&gt;=$C63+1, (-FV(InflationRate,$BY$7,,$F63)), 0)),0)</f>
        <v>0</v>
      </c>
      <c r="CB63" s="176">
        <f>IF($C63&gt;0,(IF($BY$7&gt;=$C63+1, (-FV(InflationRate,$BY$7,,$G63)), 0)),0)</f>
        <v>0</v>
      </c>
      <c r="CC63" s="168">
        <f>IF($C63&gt;0,(IF($C63=$CC$7,(-FV(InflationRate,$CC$7,,$D63)),0)),0)</f>
        <v>0</v>
      </c>
      <c r="CD63" s="149">
        <f>IF($C63&gt;0,(IF($CC$7&gt;=$C63+1, (-FV(InflationRate,$CC$7,,$E63)), 0)),0)</f>
        <v>0</v>
      </c>
      <c r="CE63" s="149">
        <f>IF($C63&gt;0,(IF($CC$7&gt;=$C63+1, (-FV(InflationRate,$CC$7,,$F63)), 0)),0)</f>
        <v>0</v>
      </c>
      <c r="CF63" s="157">
        <f>IF($C63&gt;0,(IF($CC$7&gt;=$C63+1, (-FV(InflationRate,$CC$7,,$G63)), 0)),0)</f>
        <v>0</v>
      </c>
      <c r="CG63" s="160">
        <f>IF($C63&gt;0,(IF($C63=$CG$7,(-FV(InflationRate,$CG$7,,$D63)),0)),0)</f>
        <v>0</v>
      </c>
      <c r="CH63" s="150">
        <f>IF($C63&gt;0,(IF($CG$7&gt;=$C63+1, (-FV(InflationRate,$CG$7,,$E63)), 0)),0)</f>
        <v>0</v>
      </c>
      <c r="CI63" s="150">
        <f>IF($C63&gt;0,(IF($CG$7&gt;=$C63+1, (-FV(InflationRate,$CG$7,,$F63)), 0)),0)</f>
        <v>0</v>
      </c>
      <c r="CJ63" s="176">
        <f>IF($C63&gt;0,(IF($CG$7&gt;=$C63+1, (-FV(InflationRate,$CG$7,,$G63)), 0)),0)</f>
        <v>0</v>
      </c>
      <c r="CK63" s="168">
        <f>IF($C63&gt;0,(IF($C63=$CK$7,(-FV(InflationRate,$CK$7,,$D63)),0)),0)</f>
        <v>0</v>
      </c>
      <c r="CL63" s="149">
        <f>IF($C63&gt;0,(IF($CK$7&gt;=$C63+1, (-FV(InflationRate,$CK$7,,$E63)), 0)),0)</f>
        <v>0</v>
      </c>
      <c r="CM63" s="149">
        <f>IF($C63&gt;0,(IF($CK$7&gt;=$C63+1, (-FV(InflationRate,$CK$7,,$F63)), 0)),0)</f>
        <v>0</v>
      </c>
      <c r="CN63" s="157">
        <f>IF($C63&gt;0,(IF($CK$7&gt;=$C63+1, (-FV(InflationRate,$CK$7,,$G63)), 0)),0)</f>
        <v>0</v>
      </c>
      <c r="CO63" s="160">
        <f>IF($C63&gt;0,(IF($C63=$CO$7,(-FV(InflationRate,$CO$7,,$D63)),0)),0)</f>
        <v>0</v>
      </c>
      <c r="CP63" s="150">
        <f>IF($C63&gt;0,(IF($CO$7&gt;=$C63+1, (-FV(InflationRate,$CO$7,,$E63)), 0)),0)</f>
        <v>0</v>
      </c>
      <c r="CQ63" s="150">
        <f>IF($C63&gt;0,(IF($CO$7&gt;=$C63+1, (-FV(InflationRate,$CO$7,,$F63)), 0)),0)</f>
        <v>0</v>
      </c>
      <c r="CR63" s="176">
        <f>IF($C63&gt;0,(IF($CO$7&gt;=$C63+1, (-FV(InflationRate,$CO$7,,$G63)), 0)),0)</f>
        <v>0</v>
      </c>
      <c r="CS63" s="168">
        <f>IF($C63&gt;0,(IF($C63=$CS$7,(-FV(InflationRate,$CS$7,,$D63)),0)),0)</f>
        <v>0</v>
      </c>
      <c r="CT63" s="149">
        <f>IF($C63&gt;0,(IF($CS$7&gt;=$C63+1, (-FV(InflationRate,$CS$7,,$E63)), 0)),0)</f>
        <v>0</v>
      </c>
      <c r="CU63" s="149">
        <f>IF($C63&gt;0,(IF($CS$7&gt;=$C63+1, (-FV(InflationRate,$CS$7,,$F63)), 0)),0)</f>
        <v>0</v>
      </c>
      <c r="CV63" s="157">
        <f>IF($C63&gt;0,(IF($CS$7&gt;=$C63+1, (-FV(InflationRate,$CS$7,,$G63)), 0)),0)</f>
        <v>0</v>
      </c>
      <c r="CW63" s="160">
        <f>IF($C63&gt;0,(IF($C63=$CW$7,(-FV(InflationRate,$CW$7,,$D63)),0)),0)</f>
        <v>0</v>
      </c>
      <c r="CX63" s="150">
        <f>IF($C63&gt;0,(IF($CW$7&gt;=$C63+1, (-FV(InflationRate,$CW$7,,$E63)), 0)),0)</f>
        <v>0</v>
      </c>
      <c r="CY63" s="150">
        <f>IF($C63&gt;0,(IF($CW$7&gt;=$C63+1, (-FV(InflationRate,$CW$7,,$F63)), 0)),0)</f>
        <v>0</v>
      </c>
      <c r="CZ63" s="176">
        <f>IF($C63&gt;0,(IF($CW$7&gt;=$C63+1, (-FV(InflationRate,$CW$7,,$G63)), 0)),0)</f>
        <v>0</v>
      </c>
      <c r="DA63" s="168">
        <f>IF($C63&gt;0,(IF($C63=$DA$7,(-FV(InflationRate,$DA$7,,$D63)),0)),0)</f>
        <v>0</v>
      </c>
      <c r="DB63" s="149">
        <f>IF($C63&gt;0,(IF($DA$7&gt;=$C63+1, (-FV(InflationRate,$DA$7,,$E63)), 0)),0)</f>
        <v>0</v>
      </c>
      <c r="DC63" s="149">
        <f>IF($C63&gt;0,(IF($DA$7&gt;=$C63+1, (-FV(InflationRate,$DA$7,,$F63)), 0)),0)</f>
        <v>0</v>
      </c>
      <c r="DD63" s="157">
        <f>IF($C63&gt;0,(IF($DA$7&gt;=$C63+1, (-FV(InflationRate,$DA$7,,$G63)), 0)),0)</f>
        <v>0</v>
      </c>
    </row>
    <row r="64" spans="2:108" ht="12.75" hidden="1" customHeight="1" x14ac:dyDescent="0.2">
      <c r="B64" s="183" t="s">
        <v>203</v>
      </c>
      <c r="C64" s="556"/>
      <c r="D64" s="168"/>
      <c r="E64" s="149"/>
      <c r="F64" s="149">
        <f>F48-F52-F56-F60</f>
        <v>0</v>
      </c>
      <c r="G64" s="149"/>
      <c r="H64" s="168">
        <f>SUM(I64:AB64)</f>
        <v>0</v>
      </c>
      <c r="I64" s="610">
        <f>-PV(InterestRate,I$8,,(SUM(AC64:AF64)))</f>
        <v>0</v>
      </c>
      <c r="J64" s="610">
        <f>-PV(InterestRate,J$8,,(SUM(AG64:AJ64)))</f>
        <v>0</v>
      </c>
      <c r="K64" s="610">
        <f>-PV(InterestRate,K$8,,(SUM(AK64:AN64)))</f>
        <v>0</v>
      </c>
      <c r="L64" s="610">
        <f>-PV(InterestRate,L$8,,(SUM(AO64:AR64)))</f>
        <v>0</v>
      </c>
      <c r="M64" s="610">
        <f>-PV(InterestRate,M$8,,(SUM(AS64:AV64)))</f>
        <v>0</v>
      </c>
      <c r="N64" s="610">
        <f>-PV(InterestRate,N$8,,(SUM(AW64:AZ64)))</f>
        <v>0</v>
      </c>
      <c r="O64" s="610">
        <f>-PV(InterestRate,O$8,,(SUM(BA64:BD64)))</f>
        <v>0</v>
      </c>
      <c r="P64" s="610">
        <f>-PV(InterestRate,P$8,,(SUM(BE64:BH64)))</f>
        <v>0</v>
      </c>
      <c r="Q64" s="610">
        <f>-PV(InterestRate,Q$8,,(SUM(BI64:BL64)))</f>
        <v>0</v>
      </c>
      <c r="R64" s="610">
        <f>-PV(InterestRate,R$8,,(SUM(BM64:BP64)))</f>
        <v>0</v>
      </c>
      <c r="S64" s="610">
        <f>-PV(InterestRate,S$8,,(SUM(BQ64:BT64)))</f>
        <v>0</v>
      </c>
      <c r="T64" s="610">
        <f>-PV(InterestRate,T$8,,(SUM(BU64:BX64)))</f>
        <v>0</v>
      </c>
      <c r="U64" s="610">
        <f>-PV(InterestRate,U$8,,(SUM(BY64:CB64)))</f>
        <v>0</v>
      </c>
      <c r="V64" s="610">
        <f>-PV(InterestRate,V$8,,(SUM(CC64:CF64)))</f>
        <v>0</v>
      </c>
      <c r="W64" s="610">
        <f>-PV(InterestRate,W$8,,(SUM(CG64:CJ64)))</f>
        <v>0</v>
      </c>
      <c r="X64" s="610">
        <f>-PV(InterestRate,X$8,,(SUM(CK64:CN64)))</f>
        <v>0</v>
      </c>
      <c r="Y64" s="610">
        <f>-PV(InterestRate,Y$8,,(SUM(CO64:CR64)))</f>
        <v>0</v>
      </c>
      <c r="Z64" s="610">
        <f>-PV(InterestRate,Z$8,,(SUM(CS64:CV64)))</f>
        <v>0</v>
      </c>
      <c r="AA64" s="610">
        <f>-PV(InterestRate,AA$8,,(SUM(CW64:CZ64)))</f>
        <v>0</v>
      </c>
      <c r="AB64" s="611">
        <f>-PV(InterestRate,AB$8,,(SUM(DA64:DD64)))</f>
        <v>0</v>
      </c>
      <c r="AC64" s="160">
        <f>IF($C64&gt;0,(IF($C64=$AC$7,$D64,0)),0)</f>
        <v>0</v>
      </c>
      <c r="AD64" s="150">
        <f>IF($C64&gt;0,(IF($AC$7&gt;=$C64+1,$E64,0)),0)</f>
        <v>0</v>
      </c>
      <c r="AE64" s="150">
        <f>IF($C64&gt;0,(IF($C64=$AC$7,$F64,0)),0)</f>
        <v>0</v>
      </c>
      <c r="AF64" s="165">
        <f>IF($C64&gt;0,(IF($AC$7&gt;=$C64+1,$G64,0)),0)</f>
        <v>0</v>
      </c>
      <c r="AG64" s="168">
        <f>IF($C64&gt;0,(IF($C64=$AG$7,(-FV(InflationRate,$AG$7,,$D64)),0)),0)</f>
        <v>0</v>
      </c>
      <c r="AH64" s="149">
        <f>IF($C64&gt;0,(IF($AG$7&gt;=$C64+1, (-FV(InflationRate,$AG$7,,$E64)), 0)),0)</f>
        <v>0</v>
      </c>
      <c r="AI64" s="149">
        <f>IF($C64&gt;0,(IF($AG$7&gt;=$C64+1, (-FV(InflationRate,$AG$7,,$F64)), 0)),0)</f>
        <v>0</v>
      </c>
      <c r="AJ64" s="171">
        <f>IF($C64&gt;0,(IF($AG$7&gt;=$C64+1, (-FV(InflationRate,$AG$7,,$G64)), 0)),0)</f>
        <v>0</v>
      </c>
      <c r="AK64" s="160">
        <f>IF($C64&gt;0,(IF($C64=$AK$7,(-FV(InflationRate,$AK$7,,$D64)),0)),0)</f>
        <v>0</v>
      </c>
      <c r="AL64" s="150">
        <f>IF($C64&gt;0,(IF($AK$7&gt;=$C64+1, (-FV(InflationRate,$AK$7,,$E64)), 0)),0)</f>
        <v>0</v>
      </c>
      <c r="AM64" s="150">
        <f>IF($C64&gt;0,(IF($AK$7&gt;=$C64+1, (-FV(InflationRate,$AK$7,,$F64)), 0)),0)</f>
        <v>0</v>
      </c>
      <c r="AN64" s="165">
        <f>IF($C64&gt;0,(IF($AK$7&gt;=$C64+1, (-FV(InflationRate,$AK$7,,$G64)), 0)),0)</f>
        <v>0</v>
      </c>
      <c r="AO64" s="168">
        <f>IF($C64&gt;0,(IF($C64=$AO$7,(-FV(InflationRate,$AO$7,,$D64)),0)),0)</f>
        <v>0</v>
      </c>
      <c r="AP64" s="149">
        <f>IF($C64&gt;0,(IF($AO$7&gt;=$C64+1, (-FV(InflationRate,$AO$7,,$E64)), 0)),0)</f>
        <v>0</v>
      </c>
      <c r="AQ64" s="149">
        <f>IF($C64&gt;0,(IF($AO$7&gt;=$C64+1, (-FV(InflationRate,$AO$7,,$F64)), 0)),0)</f>
        <v>0</v>
      </c>
      <c r="AR64" s="157">
        <f>IF($C64&gt;0,(IF($AO$7&gt;=$C64+1, (-FV(InflationRate,$AO$7,,$G64)), 0)),0)</f>
        <v>0</v>
      </c>
      <c r="AS64" s="160">
        <f>IF($C64&gt;0,(IF($C64=$AS$7,(-FV(InflationRate,$AS$7,,$D64)),0)),0)</f>
        <v>0</v>
      </c>
      <c r="AT64" s="150">
        <f>IF($C64&gt;0,(IF($AS$7&gt;=$C64+1, (-FV(InflationRate,$AS$7,,$E64)), 0)),0)</f>
        <v>0</v>
      </c>
      <c r="AU64" s="150">
        <f>IF($C64&gt;0,(IF($AS$7&gt;=$C64+1, (-FV(InflationRate,$AS$7,,$F64)), 0)),0)</f>
        <v>0</v>
      </c>
      <c r="AV64" s="165">
        <f>IF($C64&gt;0,(IF($AS$7&gt;=$C64+1, (-FV(InflationRate,$AS$7,,$G64)), 0)),0)</f>
        <v>0</v>
      </c>
      <c r="AW64" s="168">
        <f>IF($C64&gt;0,(IF($C64=$AW$7,(-FV(InflationRate,$AW$7,,$D64)),0)),0)</f>
        <v>0</v>
      </c>
      <c r="AX64" s="149">
        <f>IF($C64&gt;0,(IF($AW$7&gt;=$C64+1, (-FV(InflationRate,$AW$7,,$E64)), 0)),0)</f>
        <v>0</v>
      </c>
      <c r="AY64" s="149">
        <f>IF($C64&gt;0,(IF($AW$7&gt;=$C64+1, (-FV(InflationRate,$AW$7,,$F64)), 0)),0)</f>
        <v>0</v>
      </c>
      <c r="AZ64" s="157">
        <f>IF($C64&gt;0,(IF($AW$7&gt;=$C64+1, (-FV(InflationRate,$AW$7,,$G64)), 0)),0)</f>
        <v>0</v>
      </c>
      <c r="BA64" s="160">
        <f>IF($C64&gt;0,(IF($C64=$BA$7,(-FV(InflationRate,$BA$7,,$D64)),0)),0)</f>
        <v>0</v>
      </c>
      <c r="BB64" s="150">
        <f>IF($C64&gt;0,(IF($BA$7&gt;=$C64+1, (-FV(InflationRate,$BA$7,,$E64)), 0)),0)</f>
        <v>0</v>
      </c>
      <c r="BC64" s="150">
        <f>IF($C64&gt;0,(IF($BA$7&gt;=$C64+1, (-FV(InflationRate,$BA$7,,$F64)), 0)),0)</f>
        <v>0</v>
      </c>
      <c r="BD64" s="176">
        <f>IF($C64&gt;0,(IF($BA$7&gt;=$C64+1, (-FV(InflationRate,$BA$7,,$G64)), 0)),0)</f>
        <v>0</v>
      </c>
      <c r="BE64" s="168">
        <f>IF($C64&gt;0,(IF($C64=$BE$7,(-FV(InflationRate,$BE$7,,$D64)),0)),0)</f>
        <v>0</v>
      </c>
      <c r="BF64" s="149">
        <f>IF($C64&gt;0,(IF($BE$7&gt;=$C64+1, (-FV(InflationRate,$BE$7,,$E64)), 0)),0)</f>
        <v>0</v>
      </c>
      <c r="BG64" s="149">
        <f>IF($C64&gt;0,(IF($BE$7&gt;=$C64+1, (-FV(InflationRate,$BE$7,,$F64)), 0)),0)</f>
        <v>0</v>
      </c>
      <c r="BH64" s="171">
        <f>IF($C64&gt;0,(IF($BE$7&gt;=$C64+1, (-FV(InflationRate,$BE$7,,$G64)), 0)),0)</f>
        <v>0</v>
      </c>
      <c r="BI64" s="160">
        <f>IF($C64&gt;0,(IF($C64=$BI$7,(-FV(InflationRate,$BI$7,,$D64)),0)),0)</f>
        <v>0</v>
      </c>
      <c r="BJ64" s="150">
        <f>IF($C64&gt;0,(IF($BI$7&gt;=$C64+1, (-FV(InflationRate,$BI$7,,$E64)), 0)),0)</f>
        <v>0</v>
      </c>
      <c r="BK64" s="150">
        <f>IF($C64&gt;0,(IF($BI$7&gt;=$C64+1, (-FV(InflationRate,$BI$7,,$F64)), 0)),0)</f>
        <v>0</v>
      </c>
      <c r="BL64" s="176">
        <f>IF($C64&gt;0,(IF($BI$7&gt;=$C64+1, (-FV(InflationRate,$BI$7,,$G64)), 0)),0)</f>
        <v>0</v>
      </c>
      <c r="BM64" s="168">
        <f>IF($C64&gt;0,(IF($C64=$BM$7,(-FV(InflationRate,$BM$7,,$D64)),0)),0)</f>
        <v>0</v>
      </c>
      <c r="BN64" s="149">
        <f>IF($C64&gt;0,(IF($BM$7&gt;=$C64+1, (-FV(InflationRate,$BM$7,,$E64)), 0)),0)</f>
        <v>0</v>
      </c>
      <c r="BO64" s="149">
        <f>IF($C64&gt;0,(IF($BM$7&gt;=$C64+1, (-FV(InflationRate,$BM$7,,$F64)), 0)),0)</f>
        <v>0</v>
      </c>
      <c r="BP64" s="157">
        <f>IF($C64&gt;0,(IF($BM$7&gt;=$C64+1, (-FV(InflationRate,$BM$7,,$G64)), 0)),0)</f>
        <v>0</v>
      </c>
      <c r="BQ64" s="160">
        <f>IF($C64&gt;0,(IF($C64=$BQ$7,(-FV(InflationRate,$BQ$7,,$D64)),0)),0)</f>
        <v>0</v>
      </c>
      <c r="BR64" s="150">
        <f>IF($C64&gt;0,(IF($BQ$7&gt;=$C64+1, (-FV(InflationRate,$BQ$7,,$E64)), 0)),0)</f>
        <v>0</v>
      </c>
      <c r="BS64" s="150">
        <f>IF($C64&gt;0,(IF($BQ$7&gt;=$C64+1, (-FV(InflationRate,$BQ$7,,$F64)), 0)),0)</f>
        <v>0</v>
      </c>
      <c r="BT64" s="176">
        <f>IF($C64&gt;0,(IF($BQ$7&gt;=$C64+1, (-FV(InflationRate,$BQ$7,,$G64)), 0)),0)</f>
        <v>0</v>
      </c>
      <c r="BU64" s="168">
        <f>IF($C64&gt;0,(IF($C64=$BU$7,(-FV(InflationRate,$BU$7,,$D64)),0)),0)</f>
        <v>0</v>
      </c>
      <c r="BV64" s="149">
        <f>IF($C64&gt;0,(IF($BU$7&gt;=$C64+1, (-FV(InflationRate,$BU$7,,$E64)), 0)),0)</f>
        <v>0</v>
      </c>
      <c r="BW64" s="149">
        <f>IF($C64&gt;0,(IF($BU$7&gt;=$C64+1, (-FV(InflationRate,$BU$7,,$F64)), 0)),0)</f>
        <v>0</v>
      </c>
      <c r="BX64" s="157">
        <f>IF($C64&gt;0,(IF($BU$7&gt;=$C64+1, (-FV(InflationRate,$BU$7,,$G64)), 0)),0)</f>
        <v>0</v>
      </c>
      <c r="BY64" s="160">
        <f>IF($C64&gt;0,(IF($C64=$BY$7,(-FV(InflationRate,$BY$7,,$D64)),0)),0)</f>
        <v>0</v>
      </c>
      <c r="BZ64" s="150">
        <f>IF($C64&gt;0,(IF($BY$7&gt;=$C64+1, (-FV(InflationRate,$BY$7,,$E64)), 0)),0)</f>
        <v>0</v>
      </c>
      <c r="CA64" s="150">
        <f>IF($C64&gt;0,(IF($BY$7&gt;=$C64+1, (-FV(InflationRate,$BY$7,,$F64)), 0)),0)</f>
        <v>0</v>
      </c>
      <c r="CB64" s="176">
        <f>IF($C64&gt;0,(IF($BY$7&gt;=$C64+1, (-FV(InflationRate,$BY$7,,$G64)), 0)),0)</f>
        <v>0</v>
      </c>
      <c r="CC64" s="168">
        <f>IF($C64&gt;0,(IF($C64=$CC$7,(-FV(InflationRate,$CC$7,,$D64)),0)),0)</f>
        <v>0</v>
      </c>
      <c r="CD64" s="149">
        <f>IF($C64&gt;0,(IF($CC$7&gt;=$C64+1, (-FV(InflationRate,$CC$7,,$E64)), 0)),0)</f>
        <v>0</v>
      </c>
      <c r="CE64" s="149">
        <f>IF($C64&gt;0,(IF($CC$7&gt;=$C64+1, (-FV(InflationRate,$CC$7,,$F64)), 0)),0)</f>
        <v>0</v>
      </c>
      <c r="CF64" s="157">
        <f>IF($C64&gt;0,(IF($CC$7&gt;=$C64+1, (-FV(InflationRate,$CC$7,,$G64)), 0)),0)</f>
        <v>0</v>
      </c>
      <c r="CG64" s="160">
        <f>IF($C64&gt;0,(IF($C64=$CG$7,(-FV(InflationRate,$CG$7,,$D64)),0)),0)</f>
        <v>0</v>
      </c>
      <c r="CH64" s="150">
        <f>IF($C64&gt;0,(IF($CG$7&gt;=$C64+1, (-FV(InflationRate,$CG$7,,$E64)), 0)),0)</f>
        <v>0</v>
      </c>
      <c r="CI64" s="150">
        <f>IF($C64&gt;0,(IF($CG$7&gt;=$C64+1, (-FV(InflationRate,$CG$7,,$F64)), 0)),0)</f>
        <v>0</v>
      </c>
      <c r="CJ64" s="176">
        <f>IF($C64&gt;0,(IF($CG$7&gt;=$C64+1, (-FV(InflationRate,$CG$7,,$G64)), 0)),0)</f>
        <v>0</v>
      </c>
      <c r="CK64" s="168">
        <f>IF($C64&gt;0,(IF($C64=$CK$7,(-FV(InflationRate,$CK$7,,$D64)),0)),0)</f>
        <v>0</v>
      </c>
      <c r="CL64" s="149">
        <f>IF($C64&gt;0,(IF($CK$7&gt;=$C64+1, (-FV(InflationRate,$CK$7,,$E64)), 0)),0)</f>
        <v>0</v>
      </c>
      <c r="CM64" s="149">
        <f>IF($C64&gt;0,(IF($CK$7&gt;=$C64+1, (-FV(InflationRate,$CK$7,,$F64)), 0)),0)</f>
        <v>0</v>
      </c>
      <c r="CN64" s="157">
        <f>IF($C64&gt;0,(IF($CK$7&gt;=$C64+1, (-FV(InflationRate,$CK$7,,$G64)), 0)),0)</f>
        <v>0</v>
      </c>
      <c r="CO64" s="160">
        <f>IF($C64&gt;0,(IF($C64=$CO$7,(-FV(InflationRate,$CO$7,,$D64)),0)),0)</f>
        <v>0</v>
      </c>
      <c r="CP64" s="150">
        <f>IF($C64&gt;0,(IF($CO$7&gt;=$C64+1, (-FV(InflationRate,$CO$7,,$E64)), 0)),0)</f>
        <v>0</v>
      </c>
      <c r="CQ64" s="150">
        <f>IF($C64&gt;0,(IF($CO$7&gt;=$C64+1, (-FV(InflationRate,$CO$7,,$F64)), 0)),0)</f>
        <v>0</v>
      </c>
      <c r="CR64" s="176">
        <f>IF($C64&gt;0,(IF($CO$7&gt;=$C64+1, (-FV(InflationRate,$CO$7,,$G64)), 0)),0)</f>
        <v>0</v>
      </c>
      <c r="CS64" s="168">
        <f>IF($C64&gt;0,(IF($C64=$CS$7,(-FV(InflationRate,$CS$7,,$D64)),0)),0)</f>
        <v>0</v>
      </c>
      <c r="CT64" s="149">
        <f>IF($C64&gt;0,(IF($CS$7&gt;=$C64+1, (-FV(InflationRate,$CS$7,,$E64)), 0)),0)</f>
        <v>0</v>
      </c>
      <c r="CU64" s="149">
        <f>IF($C64&gt;0,(IF($CS$7&gt;=$C64+1, (-FV(InflationRate,$CS$7,,$F64)), 0)),0)</f>
        <v>0</v>
      </c>
      <c r="CV64" s="157">
        <f>IF($C64&gt;0,(IF($CS$7&gt;=$C64+1, (-FV(InflationRate,$CS$7,,$G64)), 0)),0)</f>
        <v>0</v>
      </c>
      <c r="CW64" s="160">
        <f>IF($C64&gt;0,(IF($C64=$CW$7,(-FV(InflationRate,$CW$7,,$D64)),0)),0)</f>
        <v>0</v>
      </c>
      <c r="CX64" s="150">
        <f>IF($C64&gt;0,(IF($CW$7&gt;=$C64+1, (-FV(InflationRate,$CW$7,,$E64)), 0)),0)</f>
        <v>0</v>
      </c>
      <c r="CY64" s="150">
        <f>IF($C64&gt;0,(IF($CW$7&gt;=$C64+1, (-FV(InflationRate,$CW$7,,$F64)), 0)),0)</f>
        <v>0</v>
      </c>
      <c r="CZ64" s="176">
        <f>IF($C64&gt;0,(IF($CW$7&gt;=$C64+1, (-FV(InflationRate,$CW$7,,$G64)), 0)),0)</f>
        <v>0</v>
      </c>
      <c r="DA64" s="168">
        <f>IF($C64&gt;0,(IF($C64=$DA$7,(-FV(InflationRate,$DA$7,,$D64)),0)),0)</f>
        <v>0</v>
      </c>
      <c r="DB64" s="149">
        <f>IF($C64&gt;0,(IF($DA$7&gt;=$C64+1, (-FV(InflationRate,$DA$7,,$E64)), 0)),0)</f>
        <v>0</v>
      </c>
      <c r="DC64" s="149">
        <f>IF($C64&gt;0,(IF($DA$7&gt;=$C64+1, (-FV(InflationRate,$DA$7,,$F64)), 0)),0)</f>
        <v>0</v>
      </c>
      <c r="DD64" s="157">
        <f>IF($C64&gt;0,(IF($DA$7&gt;=$C64+1, (-FV(InflationRate,$DA$7,,$G64)), 0)),0)</f>
        <v>0</v>
      </c>
    </row>
    <row r="65" spans="2:108" ht="12.75" customHeight="1" x14ac:dyDescent="0.2">
      <c r="B65" s="184" t="s">
        <v>11</v>
      </c>
      <c r="C65" s="189"/>
      <c r="D65" s="168"/>
      <c r="E65" s="149"/>
      <c r="F65" s="149"/>
      <c r="G65" s="149"/>
      <c r="H65" s="168"/>
      <c r="I65" s="600"/>
      <c r="J65" s="600"/>
      <c r="K65" s="600"/>
      <c r="L65" s="600"/>
      <c r="M65" s="600"/>
      <c r="N65" s="600"/>
      <c r="O65" s="600"/>
      <c r="P65" s="600"/>
      <c r="Q65" s="600"/>
      <c r="R65" s="600"/>
      <c r="S65" s="600"/>
      <c r="T65" s="600"/>
      <c r="U65" s="600"/>
      <c r="V65" s="600"/>
      <c r="W65" s="600"/>
      <c r="X65" s="600"/>
      <c r="Y65" s="600"/>
      <c r="Z65" s="600"/>
      <c r="AA65" s="600"/>
      <c r="AB65" s="601"/>
      <c r="AC65" s="160"/>
      <c r="AD65" s="150"/>
      <c r="AE65" s="150"/>
      <c r="AF65" s="165"/>
      <c r="AG65" s="168"/>
      <c r="AH65" s="149"/>
      <c r="AI65" s="149"/>
      <c r="AJ65" s="171"/>
      <c r="AK65" s="160"/>
      <c r="AL65" s="150"/>
      <c r="AM65" s="150"/>
      <c r="AN65" s="165"/>
      <c r="AO65" s="168"/>
      <c r="AP65" s="149"/>
      <c r="AQ65" s="149"/>
      <c r="AR65" s="157"/>
      <c r="AS65" s="160"/>
      <c r="AT65" s="150"/>
      <c r="AU65" s="150"/>
      <c r="AV65" s="165"/>
      <c r="AW65" s="168"/>
      <c r="AX65" s="149"/>
      <c r="AY65" s="149"/>
      <c r="AZ65" s="157"/>
      <c r="BA65" s="160"/>
      <c r="BB65" s="150"/>
      <c r="BC65" s="150"/>
      <c r="BD65" s="176"/>
      <c r="BE65" s="168"/>
      <c r="BF65" s="149"/>
      <c r="BG65" s="149"/>
      <c r="BH65" s="171"/>
      <c r="BI65" s="160"/>
      <c r="BJ65" s="150"/>
      <c r="BK65" s="150"/>
      <c r="BL65" s="176"/>
      <c r="BM65" s="168"/>
      <c r="BN65" s="149"/>
      <c r="BO65" s="149"/>
      <c r="BP65" s="157"/>
      <c r="BQ65" s="160"/>
      <c r="BR65" s="150"/>
      <c r="BS65" s="150"/>
      <c r="BT65" s="176"/>
      <c r="BU65" s="168"/>
      <c r="BV65" s="149"/>
      <c r="BW65" s="149"/>
      <c r="BX65" s="157"/>
      <c r="BY65" s="160"/>
      <c r="BZ65" s="150"/>
      <c r="CA65" s="150"/>
      <c r="CB65" s="176"/>
      <c r="CC65" s="168"/>
      <c r="CD65" s="149"/>
      <c r="CE65" s="149"/>
      <c r="CF65" s="157"/>
      <c r="CG65" s="160"/>
      <c r="CH65" s="150"/>
      <c r="CI65" s="150"/>
      <c r="CJ65" s="176"/>
      <c r="CK65" s="168"/>
      <c r="CL65" s="149"/>
      <c r="CM65" s="149"/>
      <c r="CN65" s="157"/>
      <c r="CO65" s="160"/>
      <c r="CP65" s="150"/>
      <c r="CQ65" s="150"/>
      <c r="CR65" s="176"/>
      <c r="CS65" s="168"/>
      <c r="CT65" s="149"/>
      <c r="CU65" s="149"/>
      <c r="CV65" s="157"/>
      <c r="CW65" s="160"/>
      <c r="CX65" s="150"/>
      <c r="CY65" s="150"/>
      <c r="CZ65" s="176"/>
      <c r="DA65" s="168"/>
      <c r="DB65" s="149"/>
      <c r="DC65" s="149"/>
      <c r="DD65" s="157"/>
    </row>
    <row r="66" spans="2:108" ht="12.75" customHeight="1" x14ac:dyDescent="0.2">
      <c r="B66" s="185" t="s">
        <v>44</v>
      </c>
      <c r="C66" s="190"/>
      <c r="D66" s="168"/>
      <c r="E66" s="149"/>
      <c r="F66" s="149"/>
      <c r="G66" s="149"/>
      <c r="H66" s="168"/>
      <c r="I66" s="600"/>
      <c r="J66" s="600"/>
      <c r="K66" s="600"/>
      <c r="L66" s="600"/>
      <c r="M66" s="600"/>
      <c r="N66" s="600"/>
      <c r="O66" s="600"/>
      <c r="P66" s="600"/>
      <c r="Q66" s="600"/>
      <c r="R66" s="600"/>
      <c r="S66" s="600"/>
      <c r="T66" s="600"/>
      <c r="U66" s="600"/>
      <c r="V66" s="600"/>
      <c r="W66" s="600"/>
      <c r="X66" s="600"/>
      <c r="Y66" s="600"/>
      <c r="Z66" s="600"/>
      <c r="AA66" s="600"/>
      <c r="AB66" s="601"/>
      <c r="AC66" s="160"/>
      <c r="AD66" s="150"/>
      <c r="AE66" s="150"/>
      <c r="AF66" s="165"/>
      <c r="AG66" s="168"/>
      <c r="AH66" s="149"/>
      <c r="AI66" s="149"/>
      <c r="AJ66" s="171"/>
      <c r="AK66" s="160"/>
      <c r="AL66" s="150"/>
      <c r="AM66" s="150"/>
      <c r="AN66" s="165"/>
      <c r="AO66" s="168"/>
      <c r="AP66" s="149"/>
      <c r="AQ66" s="149"/>
      <c r="AR66" s="157"/>
      <c r="AS66" s="160"/>
      <c r="AT66" s="150"/>
      <c r="AU66" s="150"/>
      <c r="AV66" s="165"/>
      <c r="AW66" s="168"/>
      <c r="AX66" s="149"/>
      <c r="AY66" s="149"/>
      <c r="AZ66" s="157"/>
      <c r="BA66" s="160"/>
      <c r="BB66" s="150"/>
      <c r="BC66" s="150"/>
      <c r="BD66" s="176"/>
      <c r="BE66" s="168"/>
      <c r="BF66" s="149"/>
      <c r="BG66" s="149"/>
      <c r="BH66" s="171"/>
      <c r="BI66" s="160"/>
      <c r="BJ66" s="150"/>
      <c r="BK66" s="150"/>
      <c r="BL66" s="176"/>
      <c r="BM66" s="168"/>
      <c r="BN66" s="149"/>
      <c r="BO66" s="149"/>
      <c r="BP66" s="157"/>
      <c r="BQ66" s="160"/>
      <c r="BR66" s="150"/>
      <c r="BS66" s="150"/>
      <c r="BT66" s="176"/>
      <c r="BU66" s="168"/>
      <c r="BV66" s="149"/>
      <c r="BW66" s="149"/>
      <c r="BX66" s="157"/>
      <c r="BY66" s="160"/>
      <c r="BZ66" s="150"/>
      <c r="CA66" s="150"/>
      <c r="CB66" s="176"/>
      <c r="CC66" s="168"/>
      <c r="CD66" s="149"/>
      <c r="CE66" s="149"/>
      <c r="CF66" s="157"/>
      <c r="CG66" s="160"/>
      <c r="CH66" s="150"/>
      <c r="CI66" s="150"/>
      <c r="CJ66" s="176"/>
      <c r="CK66" s="168"/>
      <c r="CL66" s="149"/>
      <c r="CM66" s="149"/>
      <c r="CN66" s="157"/>
      <c r="CO66" s="160"/>
      <c r="CP66" s="150"/>
      <c r="CQ66" s="150"/>
      <c r="CR66" s="176"/>
      <c r="CS66" s="168"/>
      <c r="CT66" s="149"/>
      <c r="CU66" s="149"/>
      <c r="CV66" s="157"/>
      <c r="CW66" s="160"/>
      <c r="CX66" s="150"/>
      <c r="CY66" s="150"/>
      <c r="CZ66" s="176"/>
      <c r="DA66" s="168"/>
      <c r="DB66" s="149"/>
      <c r="DC66" s="149"/>
      <c r="DD66" s="157"/>
    </row>
    <row r="67" spans="2:108" ht="12.75" customHeight="1" x14ac:dyDescent="0.2">
      <c r="B67" s="181" t="str">
        <f>'Collection - MP'!B5</f>
        <v>Collection System - Meetinghouse Pond</v>
      </c>
      <c r="C67" s="189"/>
      <c r="D67" s="194">
        <f>'Collection - MP'!F34</f>
        <v>21203300</v>
      </c>
      <c r="E67" s="195">
        <f>'Collection - MP'!F63</f>
        <v>166800</v>
      </c>
      <c r="F67" s="195">
        <f>'Collection - MP'!F94</f>
        <v>35900</v>
      </c>
      <c r="G67" s="195">
        <f>'Collection - MP'!F123</f>
        <v>3000</v>
      </c>
      <c r="H67" s="168"/>
      <c r="I67" s="600"/>
      <c r="J67" s="600"/>
      <c r="K67" s="600"/>
      <c r="L67" s="600"/>
      <c r="M67" s="600"/>
      <c r="N67" s="600"/>
      <c r="O67" s="600"/>
      <c r="P67" s="600"/>
      <c r="Q67" s="600"/>
      <c r="R67" s="600"/>
      <c r="S67" s="600"/>
      <c r="T67" s="600"/>
      <c r="U67" s="600"/>
      <c r="V67" s="600"/>
      <c r="W67" s="600"/>
      <c r="X67" s="600"/>
      <c r="Y67" s="600"/>
      <c r="Z67" s="600"/>
      <c r="AA67" s="600"/>
      <c r="AB67" s="601"/>
      <c r="AC67" s="160"/>
      <c r="AD67" s="150"/>
      <c r="AE67" s="150"/>
      <c r="AF67" s="165"/>
      <c r="AG67" s="168"/>
      <c r="AH67" s="149"/>
      <c r="AI67" s="149"/>
      <c r="AJ67" s="171"/>
      <c r="AK67" s="160"/>
      <c r="AL67" s="150"/>
      <c r="AM67" s="150"/>
      <c r="AN67" s="165"/>
      <c r="AO67" s="168"/>
      <c r="AP67" s="149"/>
      <c r="AQ67" s="149"/>
      <c r="AR67" s="157"/>
      <c r="AS67" s="160"/>
      <c r="AT67" s="150"/>
      <c r="AU67" s="150"/>
      <c r="AV67" s="165"/>
      <c r="AW67" s="168"/>
      <c r="AX67" s="149"/>
      <c r="AY67" s="149"/>
      <c r="AZ67" s="157"/>
      <c r="BA67" s="160"/>
      <c r="BB67" s="150"/>
      <c r="BC67" s="150"/>
      <c r="BD67" s="176"/>
      <c r="BE67" s="168"/>
      <c r="BF67" s="149"/>
      <c r="BG67" s="149"/>
      <c r="BH67" s="171"/>
      <c r="BI67" s="160"/>
      <c r="BJ67" s="150"/>
      <c r="BK67" s="150"/>
      <c r="BL67" s="176"/>
      <c r="BM67" s="168"/>
      <c r="BN67" s="149"/>
      <c r="BO67" s="149"/>
      <c r="BP67" s="157"/>
      <c r="BQ67" s="160"/>
      <c r="BR67" s="150"/>
      <c r="BS67" s="150"/>
      <c r="BT67" s="176"/>
      <c r="BU67" s="168"/>
      <c r="BV67" s="149"/>
      <c r="BW67" s="149"/>
      <c r="BX67" s="157"/>
      <c r="BY67" s="160"/>
      <c r="BZ67" s="150"/>
      <c r="CA67" s="150"/>
      <c r="CB67" s="176"/>
      <c r="CC67" s="168"/>
      <c r="CD67" s="149"/>
      <c r="CE67" s="149"/>
      <c r="CF67" s="157"/>
      <c r="CG67" s="160"/>
      <c r="CH67" s="150"/>
      <c r="CI67" s="150"/>
      <c r="CJ67" s="176"/>
      <c r="CK67" s="168"/>
      <c r="CL67" s="149"/>
      <c r="CM67" s="149"/>
      <c r="CN67" s="157"/>
      <c r="CO67" s="160"/>
      <c r="CP67" s="150"/>
      <c r="CQ67" s="150"/>
      <c r="CR67" s="176"/>
      <c r="CS67" s="168"/>
      <c r="CT67" s="149"/>
      <c r="CU67" s="149"/>
      <c r="CV67" s="157"/>
      <c r="CW67" s="160"/>
      <c r="CX67" s="150"/>
      <c r="CY67" s="150"/>
      <c r="CZ67" s="176"/>
      <c r="DA67" s="168"/>
      <c r="DB67" s="149"/>
      <c r="DC67" s="149"/>
      <c r="DD67" s="157"/>
    </row>
    <row r="68" spans="2:108" ht="12.75" customHeight="1" x14ac:dyDescent="0.2">
      <c r="B68" s="182" t="s">
        <v>215</v>
      </c>
      <c r="C68" s="189"/>
      <c r="D68" s="168"/>
      <c r="E68" s="149"/>
      <c r="F68" s="149"/>
      <c r="G68" s="149"/>
      <c r="H68" s="168"/>
      <c r="I68" s="600"/>
      <c r="J68" s="600"/>
      <c r="K68" s="600"/>
      <c r="L68" s="600"/>
      <c r="M68" s="600"/>
      <c r="N68" s="600"/>
      <c r="O68" s="600"/>
      <c r="P68" s="600"/>
      <c r="Q68" s="600"/>
      <c r="R68" s="600"/>
      <c r="S68" s="600"/>
      <c r="T68" s="600"/>
      <c r="U68" s="600"/>
      <c r="V68" s="600"/>
      <c r="W68" s="600"/>
      <c r="X68" s="600"/>
      <c r="Y68" s="600"/>
      <c r="Z68" s="600"/>
      <c r="AA68" s="600"/>
      <c r="AB68" s="601"/>
      <c r="AC68" s="160"/>
      <c r="AD68" s="150"/>
      <c r="AE68" s="150"/>
      <c r="AF68" s="165"/>
      <c r="AG68" s="168"/>
      <c r="AH68" s="149"/>
      <c r="AI68" s="149"/>
      <c r="AJ68" s="171"/>
      <c r="AK68" s="160"/>
      <c r="AL68" s="150"/>
      <c r="AM68" s="150"/>
      <c r="AN68" s="165"/>
      <c r="AO68" s="168"/>
      <c r="AP68" s="149"/>
      <c r="AQ68" s="149"/>
      <c r="AR68" s="157"/>
      <c r="AS68" s="160"/>
      <c r="AT68" s="150"/>
      <c r="AU68" s="150"/>
      <c r="AV68" s="165"/>
      <c r="AW68" s="168"/>
      <c r="AX68" s="149"/>
      <c r="AY68" s="149"/>
      <c r="AZ68" s="157"/>
      <c r="BA68" s="160"/>
      <c r="BB68" s="150"/>
      <c r="BC68" s="150"/>
      <c r="BD68" s="176"/>
      <c r="BE68" s="168"/>
      <c r="BF68" s="149"/>
      <c r="BG68" s="149"/>
      <c r="BH68" s="171"/>
      <c r="BI68" s="160"/>
      <c r="BJ68" s="150"/>
      <c r="BK68" s="150"/>
      <c r="BL68" s="176"/>
      <c r="BM68" s="168"/>
      <c r="BN68" s="149"/>
      <c r="BO68" s="149"/>
      <c r="BP68" s="157"/>
      <c r="BQ68" s="160"/>
      <c r="BR68" s="150"/>
      <c r="BS68" s="150"/>
      <c r="BT68" s="176"/>
      <c r="BU68" s="168"/>
      <c r="BV68" s="149"/>
      <c r="BW68" s="149"/>
      <c r="BX68" s="157"/>
      <c r="BY68" s="160"/>
      <c r="BZ68" s="150"/>
      <c r="CA68" s="150"/>
      <c r="CB68" s="176"/>
      <c r="CC68" s="168"/>
      <c r="CD68" s="149"/>
      <c r="CE68" s="149"/>
      <c r="CF68" s="157"/>
      <c r="CG68" s="160"/>
      <c r="CH68" s="150"/>
      <c r="CI68" s="150"/>
      <c r="CJ68" s="176"/>
      <c r="CK68" s="168"/>
      <c r="CL68" s="149"/>
      <c r="CM68" s="149"/>
      <c r="CN68" s="157"/>
      <c r="CO68" s="160"/>
      <c r="CP68" s="150"/>
      <c r="CQ68" s="150"/>
      <c r="CR68" s="176"/>
      <c r="CS68" s="168"/>
      <c r="CT68" s="149"/>
      <c r="CU68" s="149"/>
      <c r="CV68" s="157"/>
      <c r="CW68" s="160"/>
      <c r="CX68" s="150"/>
      <c r="CY68" s="150"/>
      <c r="CZ68" s="176"/>
      <c r="DA68" s="168"/>
      <c r="DB68" s="149"/>
      <c r="DC68" s="149"/>
      <c r="DD68" s="157"/>
    </row>
    <row r="69" spans="2:108" ht="12.75" customHeight="1" x14ac:dyDescent="0.2">
      <c r="B69" s="183" t="s">
        <v>517</v>
      </c>
      <c r="C69" s="556">
        <v>2</v>
      </c>
      <c r="D69" s="557">
        <f>('Collection - MP'!$F$31+'Collection - MP'!$F$32)*0.2</f>
        <v>466740</v>
      </c>
      <c r="E69" s="149"/>
      <c r="F69" s="149"/>
      <c r="G69" s="149"/>
      <c r="H69" s="168">
        <f>SUM(I69:AB69)</f>
        <v>480637.20643548749</v>
      </c>
      <c r="I69" s="610">
        <f>-PV(InterestRate,I$8,,(SUM(AC69:AF69)))</f>
        <v>0</v>
      </c>
      <c r="J69" s="610">
        <f>-PV(InterestRate,J$8,,(SUM(AG69:AJ69)))</f>
        <v>480637.20643548749</v>
      </c>
      <c r="K69" s="610">
        <f>-PV(InterestRate,K$8,,(SUM(AK69:AN69)))</f>
        <v>0</v>
      </c>
      <c r="L69" s="610">
        <f>-PV(InterestRate,L$8,,(SUM(AO69:AR69)))</f>
        <v>0</v>
      </c>
      <c r="M69" s="610">
        <f>-PV(InterestRate,M$8,,(SUM(AS69:AV69)))</f>
        <v>0</v>
      </c>
      <c r="N69" s="610">
        <f>-PV(InterestRate,N$8,,(SUM(AW69:AZ69)))</f>
        <v>0</v>
      </c>
      <c r="O69" s="610">
        <f>-PV(InterestRate,O$8,,(SUM(BA69:BD69)))</f>
        <v>0</v>
      </c>
      <c r="P69" s="610">
        <f>-PV(InterestRate,P$8,,(SUM(BE69:BH69)))</f>
        <v>0</v>
      </c>
      <c r="Q69" s="610">
        <f>-PV(InterestRate,Q$8,,(SUM(BI69:BL69)))</f>
        <v>0</v>
      </c>
      <c r="R69" s="610">
        <f>-PV(InterestRate,R$8,,(SUM(BM69:BP69)))</f>
        <v>0</v>
      </c>
      <c r="S69" s="610">
        <f>-PV(InterestRate,S$8,,(SUM(BQ69:BT69)))</f>
        <v>0</v>
      </c>
      <c r="T69" s="610">
        <f>-PV(InterestRate,T$8,,(SUM(BU69:BX69)))</f>
        <v>0</v>
      </c>
      <c r="U69" s="610">
        <f>-PV(InterestRate,U$8,,(SUM(BY69:CB69)))</f>
        <v>0</v>
      </c>
      <c r="V69" s="610">
        <f>-PV(InterestRate,V$8,,(SUM(CC69:CF69)))</f>
        <v>0</v>
      </c>
      <c r="W69" s="610">
        <f>-PV(InterestRate,W$8,,(SUM(CG69:CJ69)))</f>
        <v>0</v>
      </c>
      <c r="X69" s="610">
        <f>-PV(InterestRate,X$8,,(SUM(CK69:CN69)))</f>
        <v>0</v>
      </c>
      <c r="Y69" s="610">
        <f>-PV(InterestRate,Y$8,,(SUM(CO69:CR69)))</f>
        <v>0</v>
      </c>
      <c r="Z69" s="610">
        <f>-PV(InterestRate,Z$8,,(SUM(CS69:CV69)))</f>
        <v>0</v>
      </c>
      <c r="AA69" s="610">
        <f>-PV(InterestRate,AA$8,,(SUM(CW69:CZ69)))</f>
        <v>0</v>
      </c>
      <c r="AB69" s="611">
        <f>-PV(InterestRate,AB$8,,(SUM(DA69:DD69)))</f>
        <v>0</v>
      </c>
      <c r="AC69" s="160">
        <f>IF($C69&gt;0,(IF($C69=$AC$7,$D69,0)),0)</f>
        <v>0</v>
      </c>
      <c r="AD69" s="150">
        <f>IF($C69&gt;0,(IF($AC$7&gt;=$C69+1,$E69,0)),0)</f>
        <v>0</v>
      </c>
      <c r="AE69" s="150">
        <f>IF($C69&gt;0,(IF($C69=$AC$7,$F69,0)),0)</f>
        <v>0</v>
      </c>
      <c r="AF69" s="165">
        <f>IF($C69&gt;0,(IF($AC$7&gt;=$C69+1,$G69,0)),0)</f>
        <v>0</v>
      </c>
      <c r="AG69" s="168">
        <f>IF($C69&gt;0,(IF($C69=$AG$7,(-FV(InflationRate,$AG$7,,$D69)),0)),0)</f>
        <v>495164.46599999996</v>
      </c>
      <c r="AH69" s="149">
        <f>IF($C69&gt;0,(IF($AG$7&gt;=$C69+1, (-FV(InflationRate,$AG$7,,$E69)), 0)),0)</f>
        <v>0</v>
      </c>
      <c r="AI69" s="149">
        <f>IF($C69&gt;0,(IF($AG$7&gt;=$C69+1, (-FV(InflationRate,$AG$7,,$F69)), 0)),0)</f>
        <v>0</v>
      </c>
      <c r="AJ69" s="171">
        <f>IF($C69&gt;0,(IF($AG$7&gt;=$C69+1, (-FV(InflationRate,$AG$7,,$G69)), 0)),0)</f>
        <v>0</v>
      </c>
      <c r="AK69" s="160">
        <f>IF($C69&gt;0,(IF($C69=$AK$7,(-FV(InflationRate,$AK$7,,$D69)),0)),0)</f>
        <v>0</v>
      </c>
      <c r="AL69" s="150">
        <f>IF($C69&gt;0,(IF($AK$7&gt;=$C69+1, (-FV(InflationRate,$AK$7,,$E69)), 0)),0)</f>
        <v>0</v>
      </c>
      <c r="AM69" s="150">
        <f>IF($C69&gt;0,(IF($AK$7&gt;=$C69+1, (-FV(InflationRate,$AK$7,,$F69)), 0)),0)</f>
        <v>0</v>
      </c>
      <c r="AN69" s="165">
        <f>IF($C69&gt;0,(IF($AK$7&gt;=$C69+1, (-FV(InflationRate,$AK$7,,$G69)), 0)),0)</f>
        <v>0</v>
      </c>
      <c r="AO69" s="168">
        <f>IF($C69&gt;0,(IF($C69=$AO$7,(-FV(InflationRate,$AO$7,,$D69)),0)),0)</f>
        <v>0</v>
      </c>
      <c r="AP69" s="149">
        <f>IF($C69&gt;0,(IF($AO$7&gt;=$C69+1, (-FV(InflationRate,$AO$7,,$E69)), 0)),0)</f>
        <v>0</v>
      </c>
      <c r="AQ69" s="149">
        <f>IF($C69&gt;0,(IF($AO$7&gt;=$C69+1, (-FV(InflationRate,$AO$7,,$F69)), 0)),0)</f>
        <v>0</v>
      </c>
      <c r="AR69" s="157">
        <f>IF($C69&gt;0,(IF($AO$7&gt;=$C69+1, (-FV(InflationRate,$AO$7,,$G69)), 0)),0)</f>
        <v>0</v>
      </c>
      <c r="AS69" s="160">
        <f>IF($C69&gt;0,(IF($C69=$AS$7,(-FV(InflationRate,$AS$7,,$D69)),0)),0)</f>
        <v>0</v>
      </c>
      <c r="AT69" s="150">
        <f>IF($C69&gt;0,(IF($AS$7&gt;=$C69+1, (-FV(InflationRate,$AS$7,,$E69)), 0)),0)</f>
        <v>0</v>
      </c>
      <c r="AU69" s="150">
        <f>IF($C69&gt;0,(IF($AS$7&gt;=$C69+1, (-FV(InflationRate,$AS$7,,$F69)), 0)),0)</f>
        <v>0</v>
      </c>
      <c r="AV69" s="165">
        <f>IF($C69&gt;0,(IF($AS$7&gt;=$C69+1, (-FV(InflationRate,$AS$7,,$G69)), 0)),0)</f>
        <v>0</v>
      </c>
      <c r="AW69" s="168">
        <f>IF($C69&gt;0,(IF($C69=$AW$7,(-FV(InflationRate,$AW$7,,$D69)),0)),0)</f>
        <v>0</v>
      </c>
      <c r="AX69" s="149">
        <f>IF($C69&gt;0,(IF($AW$7&gt;=$C69+1, (-FV(InflationRate,$AW$7,,$E69)), 0)),0)</f>
        <v>0</v>
      </c>
      <c r="AY69" s="149">
        <f>IF($C69&gt;0,(IF($AW$7&gt;=$C69+1, (-FV(InflationRate,$AW$7,,$F69)), 0)),0)</f>
        <v>0</v>
      </c>
      <c r="AZ69" s="157">
        <f>IF($C69&gt;0,(IF($AW$7&gt;=$C69+1, (-FV(InflationRate,$AW$7,,$G69)), 0)),0)</f>
        <v>0</v>
      </c>
      <c r="BA69" s="160">
        <f>IF($C69&gt;0,(IF($C69=$BA$7,(-FV(InflationRate,$BA$7,,$D69)),0)),0)</f>
        <v>0</v>
      </c>
      <c r="BB69" s="150">
        <f>IF($C69&gt;0,(IF($BA$7&gt;=$C69+1, (-FV(InflationRate,$BA$7,,$E69)), 0)),0)</f>
        <v>0</v>
      </c>
      <c r="BC69" s="150">
        <f>IF($C69&gt;0,(IF($BA$7&gt;=$C69+1, (-FV(InflationRate,$BA$7,,$F69)), 0)),0)</f>
        <v>0</v>
      </c>
      <c r="BD69" s="176">
        <f>IF($C69&gt;0,(IF($BA$7&gt;=$C69+1, (-FV(InflationRate,$BA$7,,$G69)), 0)),0)</f>
        <v>0</v>
      </c>
      <c r="BE69" s="168">
        <f>IF($C69&gt;0,(IF($C69=$BE$7,(-FV(InflationRate,$BE$7,,$D69)),0)),0)</f>
        <v>0</v>
      </c>
      <c r="BF69" s="149">
        <f>IF($C69&gt;0,(IF($BE$7&gt;=$C69+1, (-FV(InflationRate,$BE$7,,$E69)), 0)),0)</f>
        <v>0</v>
      </c>
      <c r="BG69" s="149">
        <f>IF($C69&gt;0,(IF($BE$7&gt;=$C69+1, (-FV(InflationRate,$BE$7,,$F69)), 0)),0)</f>
        <v>0</v>
      </c>
      <c r="BH69" s="171">
        <f>IF($C69&gt;0,(IF($BE$7&gt;=$C69+1, (-FV(InflationRate,$BE$7,,$G69)), 0)),0)</f>
        <v>0</v>
      </c>
      <c r="BI69" s="160">
        <f>IF($C69&gt;0,(IF($C69=$BI$7,(-FV(InflationRate,$BI$7,,$D69)),0)),0)</f>
        <v>0</v>
      </c>
      <c r="BJ69" s="150">
        <f>IF($C69&gt;0,(IF($BI$7&gt;=$C69+1, (-FV(InflationRate,$BI$7,,$E69)), 0)),0)</f>
        <v>0</v>
      </c>
      <c r="BK69" s="150">
        <f>IF($C69&gt;0,(IF($BI$7&gt;=$C69+1, (-FV(InflationRate,$BI$7,,$F69)), 0)),0)</f>
        <v>0</v>
      </c>
      <c r="BL69" s="176">
        <f>IF($C69&gt;0,(IF($BI$7&gt;=$C69+1, (-FV(InflationRate,$BI$7,,$G69)), 0)),0)</f>
        <v>0</v>
      </c>
      <c r="BM69" s="168">
        <f>IF($C69&gt;0,(IF($C69=$BM$7,(-FV(InflationRate,$BM$7,,$D69)),0)),0)</f>
        <v>0</v>
      </c>
      <c r="BN69" s="149">
        <f>IF($C69&gt;0,(IF($BM$7&gt;=$C69+1, (-FV(InflationRate,$BM$7,,$E69)), 0)),0)</f>
        <v>0</v>
      </c>
      <c r="BO69" s="149">
        <f>IF($C69&gt;0,(IF($BM$7&gt;=$C69+1, (-FV(InflationRate,$BM$7,,$F69)), 0)),0)</f>
        <v>0</v>
      </c>
      <c r="BP69" s="157">
        <f>IF($C69&gt;0,(IF($BM$7&gt;=$C69+1, (-FV(InflationRate,$BM$7,,$G69)), 0)),0)</f>
        <v>0</v>
      </c>
      <c r="BQ69" s="160">
        <f>IF($C69&gt;0,(IF($C69=$BQ$7,(-FV(InflationRate,$BQ$7,,$D69)),0)),0)</f>
        <v>0</v>
      </c>
      <c r="BR69" s="150">
        <f>IF($C69&gt;0,(IF($BQ$7&gt;=$C69+1, (-FV(InflationRate,$BQ$7,,$E69)), 0)),0)</f>
        <v>0</v>
      </c>
      <c r="BS69" s="150">
        <f>IF($C69&gt;0,(IF($BQ$7&gt;=$C69+1, (-FV(InflationRate,$BQ$7,,$F69)), 0)),0)</f>
        <v>0</v>
      </c>
      <c r="BT69" s="176">
        <f>IF($C69&gt;0,(IF($BQ$7&gt;=$C69+1, (-FV(InflationRate,$BQ$7,,$G69)), 0)),0)</f>
        <v>0</v>
      </c>
      <c r="BU69" s="168">
        <f>IF($C69&gt;0,(IF($C69=$BU$7,(-FV(InflationRate,$BU$7,,$D69)),0)),0)</f>
        <v>0</v>
      </c>
      <c r="BV69" s="149">
        <f>IF($C69&gt;0,(IF($BU$7&gt;=$C69+1, (-FV(InflationRate,$BU$7,,$E69)), 0)),0)</f>
        <v>0</v>
      </c>
      <c r="BW69" s="149">
        <f>IF($C69&gt;0,(IF($BU$7&gt;=$C69+1, (-FV(InflationRate,$BU$7,,$F69)), 0)),0)</f>
        <v>0</v>
      </c>
      <c r="BX69" s="157">
        <f>IF($C69&gt;0,(IF($BU$7&gt;=$C69+1, (-FV(InflationRate,$BU$7,,$G69)), 0)),0)</f>
        <v>0</v>
      </c>
      <c r="BY69" s="160">
        <f>IF($C69&gt;0,(IF($C69=$BY$7,(-FV(InflationRate,$BY$7,,$D69)),0)),0)</f>
        <v>0</v>
      </c>
      <c r="BZ69" s="150">
        <f>IF($C69&gt;0,(IF($BY$7&gt;=$C69+1, (-FV(InflationRate,$BY$7,,$E69)), 0)),0)</f>
        <v>0</v>
      </c>
      <c r="CA69" s="150">
        <f>IF($C69&gt;0,(IF($BY$7&gt;=$C69+1, (-FV(InflationRate,$BY$7,,$F69)), 0)),0)</f>
        <v>0</v>
      </c>
      <c r="CB69" s="176">
        <f>IF($C69&gt;0,(IF($BY$7&gt;=$C69+1, (-FV(InflationRate,$BY$7,,$G69)), 0)),0)</f>
        <v>0</v>
      </c>
      <c r="CC69" s="168">
        <f>IF($C69&gt;0,(IF($C69=$CC$7,(-FV(InflationRate,$CC$7,,$D69)),0)),0)</f>
        <v>0</v>
      </c>
      <c r="CD69" s="149">
        <f>IF($C69&gt;0,(IF($CC$7&gt;=$C69+1, (-FV(InflationRate,$CC$7,,$E69)), 0)),0)</f>
        <v>0</v>
      </c>
      <c r="CE69" s="149">
        <f>IF($C69&gt;0,(IF($CC$7&gt;=$C69+1, (-FV(InflationRate,$CC$7,,$F69)), 0)),0)</f>
        <v>0</v>
      </c>
      <c r="CF69" s="157">
        <f>IF($C69&gt;0,(IF($CC$7&gt;=$C69+1, (-FV(InflationRate,$CC$7,,$G69)), 0)),0)</f>
        <v>0</v>
      </c>
      <c r="CG69" s="160">
        <f>IF($C69&gt;0,(IF($C69=$CG$7,(-FV(InflationRate,$CG$7,,$D69)),0)),0)</f>
        <v>0</v>
      </c>
      <c r="CH69" s="150">
        <f>IF($C69&gt;0,(IF($CG$7&gt;=$C69+1, (-FV(InflationRate,$CG$7,,$E69)), 0)),0)</f>
        <v>0</v>
      </c>
      <c r="CI69" s="150">
        <f>IF($C69&gt;0,(IF($CG$7&gt;=$C69+1, (-FV(InflationRate,$CG$7,,$F69)), 0)),0)</f>
        <v>0</v>
      </c>
      <c r="CJ69" s="176">
        <f>IF($C69&gt;0,(IF($CG$7&gt;=$C69+1, (-FV(InflationRate,$CG$7,,$G69)), 0)),0)</f>
        <v>0</v>
      </c>
      <c r="CK69" s="168">
        <f>IF($C69&gt;0,(IF($C69=$CK$7,(-FV(InflationRate,$CK$7,,$D69)),0)),0)</f>
        <v>0</v>
      </c>
      <c r="CL69" s="149">
        <f>IF($C69&gt;0,(IF($CK$7&gt;=$C69+1, (-FV(InflationRate,$CK$7,,$E69)), 0)),0)</f>
        <v>0</v>
      </c>
      <c r="CM69" s="149">
        <f>IF($C69&gt;0,(IF($CK$7&gt;=$C69+1, (-FV(InflationRate,$CK$7,,$F69)), 0)),0)</f>
        <v>0</v>
      </c>
      <c r="CN69" s="157">
        <f>IF($C69&gt;0,(IF($CK$7&gt;=$C69+1, (-FV(InflationRate,$CK$7,,$G69)), 0)),0)</f>
        <v>0</v>
      </c>
      <c r="CO69" s="160">
        <f>IF($C69&gt;0,(IF($C69=$CO$7,(-FV(InflationRate,$CO$7,,$D69)),0)),0)</f>
        <v>0</v>
      </c>
      <c r="CP69" s="150">
        <f>IF($C69&gt;0,(IF($CO$7&gt;=$C69+1, (-FV(InflationRate,$CO$7,,$E69)), 0)),0)</f>
        <v>0</v>
      </c>
      <c r="CQ69" s="150">
        <f>IF($C69&gt;0,(IF($CO$7&gt;=$C69+1, (-FV(InflationRate,$CO$7,,$F69)), 0)),0)</f>
        <v>0</v>
      </c>
      <c r="CR69" s="176">
        <f>IF($C69&gt;0,(IF($CO$7&gt;=$C69+1, (-FV(InflationRate,$CO$7,,$G69)), 0)),0)</f>
        <v>0</v>
      </c>
      <c r="CS69" s="168">
        <f>IF($C69&gt;0,(IF($C69=$CS$7,(-FV(InflationRate,$CS$7,,$D69)),0)),0)</f>
        <v>0</v>
      </c>
      <c r="CT69" s="149">
        <f>IF($C69&gt;0,(IF($CS$7&gt;=$C69+1, (-FV(InflationRate,$CS$7,,$E69)), 0)),0)</f>
        <v>0</v>
      </c>
      <c r="CU69" s="149">
        <f>IF($C69&gt;0,(IF($CS$7&gt;=$C69+1, (-FV(InflationRate,$CS$7,,$F69)), 0)),0)</f>
        <v>0</v>
      </c>
      <c r="CV69" s="157">
        <f>IF($C69&gt;0,(IF($CS$7&gt;=$C69+1, (-FV(InflationRate,$CS$7,,$G69)), 0)),0)</f>
        <v>0</v>
      </c>
      <c r="CW69" s="160">
        <f>IF($C69&gt;0,(IF($C69=$CW$7,(-FV(InflationRate,$CW$7,,$D69)),0)),0)</f>
        <v>0</v>
      </c>
      <c r="CX69" s="150">
        <f>IF($C69&gt;0,(IF($CW$7&gt;=$C69+1, (-FV(InflationRate,$CW$7,,$E69)), 0)),0)</f>
        <v>0</v>
      </c>
      <c r="CY69" s="150">
        <f>IF($C69&gt;0,(IF($CW$7&gt;=$C69+1, (-FV(InflationRate,$CW$7,,$F69)), 0)),0)</f>
        <v>0</v>
      </c>
      <c r="CZ69" s="176">
        <f>IF($C69&gt;0,(IF($CW$7&gt;=$C69+1, (-FV(InflationRate,$CW$7,,$G69)), 0)),0)</f>
        <v>0</v>
      </c>
      <c r="DA69" s="168">
        <f>IF($C69&gt;0,(IF($C69=$DA$7,(-FV(InflationRate,$DA$7,,$D69)),0)),0)</f>
        <v>0</v>
      </c>
      <c r="DB69" s="149">
        <f>IF($C69&gt;0,(IF($DA$7&gt;=$C69+1, (-FV(InflationRate,$DA$7,,$E69)), 0)),0)</f>
        <v>0</v>
      </c>
      <c r="DC69" s="149">
        <f>IF($C69&gt;0,(IF($DA$7&gt;=$C69+1, (-FV(InflationRate,$DA$7,,$F69)), 0)),0)</f>
        <v>0</v>
      </c>
      <c r="DD69" s="157">
        <f>IF($C69&gt;0,(IF($DA$7&gt;=$C69+1, (-FV(InflationRate,$DA$7,,$G69)), 0)),0)</f>
        <v>0</v>
      </c>
    </row>
    <row r="70" spans="2:108" ht="12.75" customHeight="1" x14ac:dyDescent="0.2">
      <c r="B70" s="183" t="s">
        <v>270</v>
      </c>
      <c r="C70" s="556"/>
      <c r="D70" s="557">
        <v>0</v>
      </c>
      <c r="E70" s="558">
        <v>0</v>
      </c>
      <c r="F70" s="149"/>
      <c r="G70" s="558">
        <v>0</v>
      </c>
      <c r="H70" s="168">
        <f>SUM(I70:AB70)</f>
        <v>0</v>
      </c>
      <c r="I70" s="610">
        <f>-PV(InterestRate,I$8,,(SUM(AC70:AF70)))</f>
        <v>0</v>
      </c>
      <c r="J70" s="610">
        <f>-PV(InterestRate,J$8,,(SUM(AG70:AJ70)))</f>
        <v>0</v>
      </c>
      <c r="K70" s="610">
        <f>-PV(InterestRate,K$8,,(SUM(AK70:AN70)))</f>
        <v>0</v>
      </c>
      <c r="L70" s="610">
        <f>-PV(InterestRate,L$8,,(SUM(AO70:AR70)))</f>
        <v>0</v>
      </c>
      <c r="M70" s="610">
        <f>-PV(InterestRate,M$8,,(SUM(AS70:AV70)))</f>
        <v>0</v>
      </c>
      <c r="N70" s="610">
        <f>-PV(InterestRate,N$8,,(SUM(AW70:AZ70)))</f>
        <v>0</v>
      </c>
      <c r="O70" s="610">
        <f>-PV(InterestRate,O$8,,(SUM(BA70:BD70)))</f>
        <v>0</v>
      </c>
      <c r="P70" s="610">
        <f>-PV(InterestRate,P$8,,(SUM(BE70:BH70)))</f>
        <v>0</v>
      </c>
      <c r="Q70" s="610">
        <f>-PV(InterestRate,Q$8,,(SUM(BI70:BL70)))</f>
        <v>0</v>
      </c>
      <c r="R70" s="610">
        <f>-PV(InterestRate,R$8,,(SUM(BM70:BP70)))</f>
        <v>0</v>
      </c>
      <c r="S70" s="610">
        <f>-PV(InterestRate,S$8,,(SUM(BQ70:BT70)))</f>
        <v>0</v>
      </c>
      <c r="T70" s="610">
        <f>-PV(InterestRate,T$8,,(SUM(BU70:BX70)))</f>
        <v>0</v>
      </c>
      <c r="U70" s="610">
        <f>-PV(InterestRate,U$8,,(SUM(BY70:CB70)))</f>
        <v>0</v>
      </c>
      <c r="V70" s="610">
        <f>-PV(InterestRate,V$8,,(SUM(CC70:CF70)))</f>
        <v>0</v>
      </c>
      <c r="W70" s="610">
        <f>-PV(InterestRate,W$8,,(SUM(CG70:CJ70)))</f>
        <v>0</v>
      </c>
      <c r="X70" s="610">
        <f>-PV(InterestRate,X$8,,(SUM(CK70:CN70)))</f>
        <v>0</v>
      </c>
      <c r="Y70" s="610">
        <f>-PV(InterestRate,Y$8,,(SUM(CO70:CR70)))</f>
        <v>0</v>
      </c>
      <c r="Z70" s="610">
        <f>-PV(InterestRate,Z$8,,(SUM(CS70:CV70)))</f>
        <v>0</v>
      </c>
      <c r="AA70" s="610">
        <f>-PV(InterestRate,AA$8,,(SUM(CW70:CZ70)))</f>
        <v>0</v>
      </c>
      <c r="AB70" s="611">
        <f>-PV(InterestRate,AB$8,,(SUM(DA70:DD70)))</f>
        <v>0</v>
      </c>
      <c r="AC70" s="160">
        <f>IF($C70&gt;0,(IF($C70=$AC$7,$D70,0)),0)</f>
        <v>0</v>
      </c>
      <c r="AD70" s="150">
        <f>IF($C70&gt;0,(IF($AC$7&gt;=$C70+1,$E70,0)),0)</f>
        <v>0</v>
      </c>
      <c r="AE70" s="150">
        <f>IF($C70&gt;0,(IF($C70=$AC$7,$F70,0)),0)</f>
        <v>0</v>
      </c>
      <c r="AF70" s="165">
        <f>IF($C70&gt;0,(IF($AC$7&gt;=$C70+1,$G70,0)),0)</f>
        <v>0</v>
      </c>
      <c r="AG70" s="168">
        <f>IF($C70&gt;0,(IF($C70=$AG$7,(-FV(InflationRate,$AG$7,,$D70)),0)),0)</f>
        <v>0</v>
      </c>
      <c r="AH70" s="149">
        <f>IF($C70&gt;0,(IF($AG$7&gt;=$C70+1, (-FV(InflationRate,$AG$7,,$E70)), 0)),0)</f>
        <v>0</v>
      </c>
      <c r="AI70" s="149">
        <f>IF($C70&gt;0,(IF($AG$7&gt;=$C70+1, (-FV(InflationRate,$AG$7,,$F70)), 0)),0)</f>
        <v>0</v>
      </c>
      <c r="AJ70" s="171">
        <f>IF($C70&gt;0,(IF($AG$7&gt;=$C70+1, (-FV(InflationRate,$AG$7,,$G70)), 0)),0)</f>
        <v>0</v>
      </c>
      <c r="AK70" s="160">
        <f>IF($C70&gt;0,(IF($C70=$AK$7,(-FV(InflationRate,$AK$7,,$D70)),0)),0)</f>
        <v>0</v>
      </c>
      <c r="AL70" s="150">
        <f>IF($C70&gt;0,(IF($AK$7&gt;=$C70+1, (-FV(InflationRate,$AK$7,,$E70)), 0)),0)</f>
        <v>0</v>
      </c>
      <c r="AM70" s="150">
        <f>IF($C70&gt;0,(IF($AK$7&gt;=$C70+1, (-FV(InflationRate,$AK$7,,$F70)), 0)),0)</f>
        <v>0</v>
      </c>
      <c r="AN70" s="165">
        <f>IF($C70&gt;0,(IF($AK$7&gt;=$C70+1, (-FV(InflationRate,$AK$7,,$G70)), 0)),0)</f>
        <v>0</v>
      </c>
      <c r="AO70" s="168">
        <f>IF($C70&gt;0,(IF($C70=$AO$7,(-FV(InflationRate,$AO$7,,$D70)),0)),0)</f>
        <v>0</v>
      </c>
      <c r="AP70" s="149">
        <f>IF($C70&gt;0,(IF($AO$7&gt;=$C70+1, (-FV(InflationRate,$AO$7,,$E70)), 0)),0)</f>
        <v>0</v>
      </c>
      <c r="AQ70" s="149">
        <f>IF($C70&gt;0,(IF($AO$7&gt;=$C70+1, (-FV(InflationRate,$AO$7,,$F70)), 0)),0)</f>
        <v>0</v>
      </c>
      <c r="AR70" s="157">
        <f>IF($C70&gt;0,(IF($AO$7&gt;=$C70+1, (-FV(InflationRate,$AO$7,,$G70)), 0)),0)</f>
        <v>0</v>
      </c>
      <c r="AS70" s="160">
        <f>IF($C70&gt;0,(IF($C70=$AS$7,(-FV(InflationRate,$AS$7,,$D70)),0)),0)</f>
        <v>0</v>
      </c>
      <c r="AT70" s="150">
        <f>IF($C70&gt;0,(IF($AS$7&gt;=$C70+1, (-FV(InflationRate,$AS$7,,$E70)), 0)),0)</f>
        <v>0</v>
      </c>
      <c r="AU70" s="150">
        <f>IF($C70&gt;0,(IF($AS$7&gt;=$C70+1, (-FV(InflationRate,$AS$7,,$F70)), 0)),0)</f>
        <v>0</v>
      </c>
      <c r="AV70" s="165">
        <f>IF($C70&gt;0,(IF($AS$7&gt;=$C70+1, (-FV(InflationRate,$AS$7,,$G70)), 0)),0)</f>
        <v>0</v>
      </c>
      <c r="AW70" s="168">
        <f>IF($C70&gt;0,(IF($C70=$AW$7,(-FV(InflationRate,$AW$7,,$D70)),0)),0)</f>
        <v>0</v>
      </c>
      <c r="AX70" s="149">
        <f>IF($C70&gt;0,(IF($AW$7&gt;=$C70+1, (-FV(InflationRate,$AW$7,,$E70)), 0)),0)</f>
        <v>0</v>
      </c>
      <c r="AY70" s="149">
        <f>IF($C70&gt;0,(IF($AW$7&gt;=$C70+1, (-FV(InflationRate,$AW$7,,$F70)), 0)),0)</f>
        <v>0</v>
      </c>
      <c r="AZ70" s="157">
        <f>IF($C70&gt;0,(IF($AW$7&gt;=$C70+1, (-FV(InflationRate,$AW$7,,$G70)), 0)),0)</f>
        <v>0</v>
      </c>
      <c r="BA70" s="160">
        <f>IF($C70&gt;0,(IF($C70=$BA$7,(-FV(InflationRate,$BA$7,,$D70)),0)),0)</f>
        <v>0</v>
      </c>
      <c r="BB70" s="150">
        <f>IF($C70&gt;0,(IF($BA$7&gt;=$C70+1, (-FV(InflationRate,$BA$7,,$E70)), 0)),0)</f>
        <v>0</v>
      </c>
      <c r="BC70" s="150">
        <f>IF($C70&gt;0,(IF($BA$7&gt;=$C70+1, (-FV(InflationRate,$BA$7,,$F70)), 0)),0)</f>
        <v>0</v>
      </c>
      <c r="BD70" s="176">
        <f>IF($C70&gt;0,(IF($BA$7&gt;=$C70+1, (-FV(InflationRate,$BA$7,,$G70)), 0)),0)</f>
        <v>0</v>
      </c>
      <c r="BE70" s="168">
        <f>IF($C70&gt;0,(IF($C70=$BE$7,(-FV(InflationRate,$BE$7,,$D70)),0)),0)</f>
        <v>0</v>
      </c>
      <c r="BF70" s="149">
        <f>IF($C70&gt;0,(IF($BE$7&gt;=$C70+1, (-FV(InflationRate,$BE$7,,$E70)), 0)),0)</f>
        <v>0</v>
      </c>
      <c r="BG70" s="149">
        <f>IF($C70&gt;0,(IF($BE$7&gt;=$C70+1, (-FV(InflationRate,$BE$7,,$F70)), 0)),0)</f>
        <v>0</v>
      </c>
      <c r="BH70" s="171">
        <f>IF($C70&gt;0,(IF($BE$7&gt;=$C70+1, (-FV(InflationRate,$BE$7,,$G70)), 0)),0)</f>
        <v>0</v>
      </c>
      <c r="BI70" s="160">
        <f>IF($C70&gt;0,(IF($C70=$BI$7,(-FV(InflationRate,$BI$7,,$D70)),0)),0)</f>
        <v>0</v>
      </c>
      <c r="BJ70" s="150">
        <f>IF($C70&gt;0,(IF($BI$7&gt;=$C70+1, (-FV(InflationRate,$BI$7,,$E70)), 0)),0)</f>
        <v>0</v>
      </c>
      <c r="BK70" s="150">
        <f>IF($C70&gt;0,(IF($BI$7&gt;=$C70+1, (-FV(InflationRate,$BI$7,,$F70)), 0)),0)</f>
        <v>0</v>
      </c>
      <c r="BL70" s="176">
        <f>IF($C70&gt;0,(IF($BI$7&gt;=$C70+1, (-FV(InflationRate,$BI$7,,$G70)), 0)),0)</f>
        <v>0</v>
      </c>
      <c r="BM70" s="168">
        <f>IF($C70&gt;0,(IF($C70=$BM$7,(-FV(InflationRate,$BM$7,,$D70)),0)),0)</f>
        <v>0</v>
      </c>
      <c r="BN70" s="149">
        <f>IF($C70&gt;0,(IF($BM$7&gt;=$C70+1, (-FV(InflationRate,$BM$7,,$E70)), 0)),0)</f>
        <v>0</v>
      </c>
      <c r="BO70" s="149">
        <f>IF($C70&gt;0,(IF($BM$7&gt;=$C70+1, (-FV(InflationRate,$BM$7,,$F70)), 0)),0)</f>
        <v>0</v>
      </c>
      <c r="BP70" s="157">
        <f>IF($C70&gt;0,(IF($BM$7&gt;=$C70+1, (-FV(InflationRate,$BM$7,,$G70)), 0)),0)</f>
        <v>0</v>
      </c>
      <c r="BQ70" s="160">
        <f>IF($C70&gt;0,(IF($C70=$BQ$7,(-FV(InflationRate,$BQ$7,,$D70)),0)),0)</f>
        <v>0</v>
      </c>
      <c r="BR70" s="150">
        <f>IF($C70&gt;0,(IF($BQ$7&gt;=$C70+1, (-FV(InflationRate,$BQ$7,,$E70)), 0)),0)</f>
        <v>0</v>
      </c>
      <c r="BS70" s="150">
        <f>IF($C70&gt;0,(IF($BQ$7&gt;=$C70+1, (-FV(InflationRate,$BQ$7,,$F70)), 0)),0)</f>
        <v>0</v>
      </c>
      <c r="BT70" s="176">
        <f>IF($C70&gt;0,(IF($BQ$7&gt;=$C70+1, (-FV(InflationRate,$BQ$7,,$G70)), 0)),0)</f>
        <v>0</v>
      </c>
      <c r="BU70" s="168">
        <f>IF($C70&gt;0,(IF($C70=$BU$7,(-FV(InflationRate,$BU$7,,$D70)),0)),0)</f>
        <v>0</v>
      </c>
      <c r="BV70" s="149">
        <f>IF($C70&gt;0,(IF($BU$7&gt;=$C70+1, (-FV(InflationRate,$BU$7,,$E70)), 0)),0)</f>
        <v>0</v>
      </c>
      <c r="BW70" s="149">
        <f>IF($C70&gt;0,(IF($BU$7&gt;=$C70+1, (-FV(InflationRate,$BU$7,,$F70)), 0)),0)</f>
        <v>0</v>
      </c>
      <c r="BX70" s="157">
        <f>IF($C70&gt;0,(IF($BU$7&gt;=$C70+1, (-FV(InflationRate,$BU$7,,$G70)), 0)),0)</f>
        <v>0</v>
      </c>
      <c r="BY70" s="160">
        <f>IF($C70&gt;0,(IF($C70=$BY$7,(-FV(InflationRate,$BY$7,,$D70)),0)),0)</f>
        <v>0</v>
      </c>
      <c r="BZ70" s="150">
        <f>IF($C70&gt;0,(IF($BY$7&gt;=$C70+1, (-FV(InflationRate,$BY$7,,$E70)), 0)),0)</f>
        <v>0</v>
      </c>
      <c r="CA70" s="150">
        <f>IF($C70&gt;0,(IF($BY$7&gt;=$C70+1, (-FV(InflationRate,$BY$7,,$F70)), 0)),0)</f>
        <v>0</v>
      </c>
      <c r="CB70" s="176">
        <f>IF($C70&gt;0,(IF($BY$7&gt;=$C70+1, (-FV(InflationRate,$BY$7,,$G70)), 0)),0)</f>
        <v>0</v>
      </c>
      <c r="CC70" s="168">
        <f>IF($C70&gt;0,(IF($C70=$CC$7,(-FV(InflationRate,$CC$7,,$D70)),0)),0)</f>
        <v>0</v>
      </c>
      <c r="CD70" s="149">
        <f>IF($C70&gt;0,(IF($CC$7&gt;=$C70+1, (-FV(InflationRate,$CC$7,,$E70)), 0)),0)</f>
        <v>0</v>
      </c>
      <c r="CE70" s="149">
        <f>IF($C70&gt;0,(IF($CC$7&gt;=$C70+1, (-FV(InflationRate,$CC$7,,$F70)), 0)),0)</f>
        <v>0</v>
      </c>
      <c r="CF70" s="157">
        <f>IF($C70&gt;0,(IF($CC$7&gt;=$C70+1, (-FV(InflationRate,$CC$7,,$G70)), 0)),0)</f>
        <v>0</v>
      </c>
      <c r="CG70" s="160">
        <f>IF($C70&gt;0,(IF($C70=$CG$7,(-FV(InflationRate,$CG$7,,$D70)),0)),0)</f>
        <v>0</v>
      </c>
      <c r="CH70" s="150">
        <f>IF($C70&gt;0,(IF($CG$7&gt;=$C70+1, (-FV(InflationRate,$CG$7,,$E70)), 0)),0)</f>
        <v>0</v>
      </c>
      <c r="CI70" s="150">
        <f>IF($C70&gt;0,(IF($CG$7&gt;=$C70+1, (-FV(InflationRate,$CG$7,,$F70)), 0)),0)</f>
        <v>0</v>
      </c>
      <c r="CJ70" s="176">
        <f>IF($C70&gt;0,(IF($CG$7&gt;=$C70+1, (-FV(InflationRate,$CG$7,,$G70)), 0)),0)</f>
        <v>0</v>
      </c>
      <c r="CK70" s="168">
        <f>IF($C70&gt;0,(IF($C70=$CK$7,(-FV(InflationRate,$CK$7,,$D70)),0)),0)</f>
        <v>0</v>
      </c>
      <c r="CL70" s="149">
        <f>IF($C70&gt;0,(IF($CK$7&gt;=$C70+1, (-FV(InflationRate,$CK$7,,$E70)), 0)),0)</f>
        <v>0</v>
      </c>
      <c r="CM70" s="149">
        <f>IF($C70&gt;0,(IF($CK$7&gt;=$C70+1, (-FV(InflationRate,$CK$7,,$F70)), 0)),0)</f>
        <v>0</v>
      </c>
      <c r="CN70" s="157">
        <f>IF($C70&gt;0,(IF($CK$7&gt;=$C70+1, (-FV(InflationRate,$CK$7,,$G70)), 0)),0)</f>
        <v>0</v>
      </c>
      <c r="CO70" s="160">
        <f>IF($C70&gt;0,(IF($C70=$CO$7,(-FV(InflationRate,$CO$7,,$D70)),0)),0)</f>
        <v>0</v>
      </c>
      <c r="CP70" s="150">
        <f>IF($C70&gt;0,(IF($CO$7&gt;=$C70+1, (-FV(InflationRate,$CO$7,,$E70)), 0)),0)</f>
        <v>0</v>
      </c>
      <c r="CQ70" s="150">
        <f>IF($C70&gt;0,(IF($CO$7&gt;=$C70+1, (-FV(InflationRate,$CO$7,,$F70)), 0)),0)</f>
        <v>0</v>
      </c>
      <c r="CR70" s="176">
        <f>IF($C70&gt;0,(IF($CO$7&gt;=$C70+1, (-FV(InflationRate,$CO$7,,$G70)), 0)),0)</f>
        <v>0</v>
      </c>
      <c r="CS70" s="168">
        <f>IF($C70&gt;0,(IF($C70=$CS$7,(-FV(InflationRate,$CS$7,,$D70)),0)),0)</f>
        <v>0</v>
      </c>
      <c r="CT70" s="149">
        <f>IF($C70&gt;0,(IF($CS$7&gt;=$C70+1, (-FV(InflationRate,$CS$7,,$E70)), 0)),0)</f>
        <v>0</v>
      </c>
      <c r="CU70" s="149">
        <f>IF($C70&gt;0,(IF($CS$7&gt;=$C70+1, (-FV(InflationRate,$CS$7,,$F70)), 0)),0)</f>
        <v>0</v>
      </c>
      <c r="CV70" s="157">
        <f>IF($C70&gt;0,(IF($CS$7&gt;=$C70+1, (-FV(InflationRate,$CS$7,,$G70)), 0)),0)</f>
        <v>0</v>
      </c>
      <c r="CW70" s="160">
        <f>IF($C70&gt;0,(IF($C70=$CW$7,(-FV(InflationRate,$CW$7,,$D70)),0)),0)</f>
        <v>0</v>
      </c>
      <c r="CX70" s="150">
        <f>IF($C70&gt;0,(IF($CW$7&gt;=$C70+1, (-FV(InflationRate,$CW$7,,$E70)), 0)),0)</f>
        <v>0</v>
      </c>
      <c r="CY70" s="150">
        <f>IF($C70&gt;0,(IF($CW$7&gt;=$C70+1, (-FV(InflationRate,$CW$7,,$F70)), 0)),0)</f>
        <v>0</v>
      </c>
      <c r="CZ70" s="176">
        <f>IF($C70&gt;0,(IF($CW$7&gt;=$C70+1, (-FV(InflationRate,$CW$7,,$G70)), 0)),0)</f>
        <v>0</v>
      </c>
      <c r="DA70" s="168">
        <f>IF($C70&gt;0,(IF($C70=$DA$7,(-FV(InflationRate,$DA$7,,$D70)),0)),0)</f>
        <v>0</v>
      </c>
      <c r="DB70" s="149">
        <f>IF($C70&gt;0,(IF($DA$7&gt;=$C70+1, (-FV(InflationRate,$DA$7,,$E70)), 0)),0)</f>
        <v>0</v>
      </c>
      <c r="DC70" s="149">
        <f>IF($C70&gt;0,(IF($DA$7&gt;=$C70+1, (-FV(InflationRate,$DA$7,,$F70)), 0)),0)</f>
        <v>0</v>
      </c>
      <c r="DD70" s="157">
        <f>IF($C70&gt;0,(IF($DA$7&gt;=$C70+1, (-FV(InflationRate,$DA$7,,$G70)), 0)),0)</f>
        <v>0</v>
      </c>
    </row>
    <row r="71" spans="2:108" ht="12.75" customHeight="1" x14ac:dyDescent="0.2">
      <c r="B71" s="183" t="s">
        <v>203</v>
      </c>
      <c r="C71" s="556"/>
      <c r="D71" s="168"/>
      <c r="E71" s="149"/>
      <c r="F71" s="558">
        <v>0</v>
      </c>
      <c r="G71" s="149"/>
      <c r="H71" s="168">
        <f>SUM(I71:AB71)</f>
        <v>0</v>
      </c>
      <c r="I71" s="610">
        <f>-PV(InterestRate,I$8,,(SUM(AC71:AF71)))</f>
        <v>0</v>
      </c>
      <c r="J71" s="610">
        <f>-PV(InterestRate,J$8,,(SUM(AG71:AJ71)))</f>
        <v>0</v>
      </c>
      <c r="K71" s="610">
        <f>-PV(InterestRate,K$8,,(SUM(AK71:AN71)))</f>
        <v>0</v>
      </c>
      <c r="L71" s="610">
        <f>-PV(InterestRate,L$8,,(SUM(AO71:AR71)))</f>
        <v>0</v>
      </c>
      <c r="M71" s="610">
        <f>-PV(InterestRate,M$8,,(SUM(AS71:AV71)))</f>
        <v>0</v>
      </c>
      <c r="N71" s="610">
        <f>-PV(InterestRate,N$8,,(SUM(AW71:AZ71)))</f>
        <v>0</v>
      </c>
      <c r="O71" s="610">
        <f>-PV(InterestRate,O$8,,(SUM(BA71:BD71)))</f>
        <v>0</v>
      </c>
      <c r="P71" s="610">
        <f>-PV(InterestRate,P$8,,(SUM(BE71:BH71)))</f>
        <v>0</v>
      </c>
      <c r="Q71" s="610">
        <f>-PV(InterestRate,Q$8,,(SUM(BI71:BL71)))</f>
        <v>0</v>
      </c>
      <c r="R71" s="610">
        <f>-PV(InterestRate,R$8,,(SUM(BM71:BP71)))</f>
        <v>0</v>
      </c>
      <c r="S71" s="610">
        <f>-PV(InterestRate,S$8,,(SUM(BQ71:BT71)))</f>
        <v>0</v>
      </c>
      <c r="T71" s="610">
        <f>-PV(InterestRate,T$8,,(SUM(BU71:BX71)))</f>
        <v>0</v>
      </c>
      <c r="U71" s="610">
        <f>-PV(InterestRate,U$8,,(SUM(BY71:CB71)))</f>
        <v>0</v>
      </c>
      <c r="V71" s="610">
        <f>-PV(InterestRate,V$8,,(SUM(CC71:CF71)))</f>
        <v>0</v>
      </c>
      <c r="W71" s="610">
        <f>-PV(InterestRate,W$8,,(SUM(CG71:CJ71)))</f>
        <v>0</v>
      </c>
      <c r="X71" s="610">
        <f>-PV(InterestRate,X$8,,(SUM(CK71:CN71)))</f>
        <v>0</v>
      </c>
      <c r="Y71" s="610">
        <f>-PV(InterestRate,Y$8,,(SUM(CO71:CR71)))</f>
        <v>0</v>
      </c>
      <c r="Z71" s="610">
        <f>-PV(InterestRate,Z$8,,(SUM(CS71:CV71)))</f>
        <v>0</v>
      </c>
      <c r="AA71" s="610">
        <f>-PV(InterestRate,AA$8,,(SUM(CW71:CZ71)))</f>
        <v>0</v>
      </c>
      <c r="AB71" s="611">
        <f>-PV(InterestRate,AB$8,,(SUM(DA71:DD71)))</f>
        <v>0</v>
      </c>
      <c r="AC71" s="160">
        <f>IF($C71&gt;0,(IF($C71=$AC$7,$D71,0)),0)</f>
        <v>0</v>
      </c>
      <c r="AD71" s="150">
        <f>IF($C71&gt;0,(IF($AC$7&gt;=$C71+1,$E71,0)),0)</f>
        <v>0</v>
      </c>
      <c r="AE71" s="150">
        <f>IF($C71&gt;0,(IF($C71=$AC$7,$F71,0)),0)</f>
        <v>0</v>
      </c>
      <c r="AF71" s="165">
        <f>IF($C71&gt;0,(IF($AC$7&gt;=$C71+1,$G71,0)),0)</f>
        <v>0</v>
      </c>
      <c r="AG71" s="168">
        <f>IF($C71&gt;0,(IF($C71=$AG$7,(-FV(InflationRate,$AG$7,,$D71)),0)),0)</f>
        <v>0</v>
      </c>
      <c r="AH71" s="149">
        <f>IF($C71&gt;0,(IF($AG$7&gt;=$C71+1, (-FV(InflationRate,$AG$7,,$E71)), 0)),0)</f>
        <v>0</v>
      </c>
      <c r="AI71" s="149">
        <f>IF($C71&gt;0,(IF($AG$7&gt;=$C71+1, (-FV(InflationRate,$AG$7,,$F71)), 0)),0)</f>
        <v>0</v>
      </c>
      <c r="AJ71" s="171">
        <f>IF($C71&gt;0,(IF($AG$7&gt;=$C71+1, (-FV(InflationRate,$AG$7,,$G71)), 0)),0)</f>
        <v>0</v>
      </c>
      <c r="AK71" s="160">
        <f>IF($C71&gt;0,(IF($C71=$AK$7,(-FV(InflationRate,$AK$7,,$D71)),0)),0)</f>
        <v>0</v>
      </c>
      <c r="AL71" s="150">
        <f>IF($C71&gt;0,(IF($AK$7&gt;=$C71+1, (-FV(InflationRate,$AK$7,,$E71)), 0)),0)</f>
        <v>0</v>
      </c>
      <c r="AM71" s="150">
        <f>IF($C71&gt;0,(IF($AK$7&gt;=$C71+1, (-FV(InflationRate,$AK$7,,$F71)), 0)),0)</f>
        <v>0</v>
      </c>
      <c r="AN71" s="165">
        <f>IF($C71&gt;0,(IF($AK$7&gt;=$C71+1, (-FV(InflationRate,$AK$7,,$G71)), 0)),0)</f>
        <v>0</v>
      </c>
      <c r="AO71" s="168">
        <f>IF($C71&gt;0,(IF($C71=$AO$7,(-FV(InflationRate,$AO$7,,$D71)),0)),0)</f>
        <v>0</v>
      </c>
      <c r="AP71" s="149">
        <f>IF($C71&gt;0,(IF($AO$7&gt;=$C71+1, (-FV(InflationRate,$AO$7,,$E71)), 0)),0)</f>
        <v>0</v>
      </c>
      <c r="AQ71" s="149">
        <f>IF($C71&gt;0,(IF($AO$7&gt;=$C71+1, (-FV(InflationRate,$AO$7,,$F71)), 0)),0)</f>
        <v>0</v>
      </c>
      <c r="AR71" s="157">
        <f>IF($C71&gt;0,(IF($AO$7&gt;=$C71+1, (-FV(InflationRate,$AO$7,,$G71)), 0)),0)</f>
        <v>0</v>
      </c>
      <c r="AS71" s="160">
        <f>IF($C71&gt;0,(IF($C71=$AS$7,(-FV(InflationRate,$AS$7,,$D71)),0)),0)</f>
        <v>0</v>
      </c>
      <c r="AT71" s="150">
        <f>IF($C71&gt;0,(IF($AS$7&gt;=$C71+1, (-FV(InflationRate,$AS$7,,$E71)), 0)),0)</f>
        <v>0</v>
      </c>
      <c r="AU71" s="150">
        <f>IF($C71&gt;0,(IF($AS$7&gt;=$C71+1, (-FV(InflationRate,$AS$7,,$F71)), 0)),0)</f>
        <v>0</v>
      </c>
      <c r="AV71" s="165">
        <f>IF($C71&gt;0,(IF($AS$7&gt;=$C71+1, (-FV(InflationRate,$AS$7,,$G71)), 0)),0)</f>
        <v>0</v>
      </c>
      <c r="AW71" s="168">
        <f>IF($C71&gt;0,(IF($C71=$AW$7,(-FV(InflationRate,$AW$7,,$D71)),0)),0)</f>
        <v>0</v>
      </c>
      <c r="AX71" s="149">
        <f>IF($C71&gt;0,(IF($AW$7&gt;=$C71+1, (-FV(InflationRate,$AW$7,,$E71)), 0)),0)</f>
        <v>0</v>
      </c>
      <c r="AY71" s="149">
        <f>IF($C71&gt;0,(IF($AW$7&gt;=$C71+1, (-FV(InflationRate,$AW$7,,$F71)), 0)),0)</f>
        <v>0</v>
      </c>
      <c r="AZ71" s="157">
        <f>IF($C71&gt;0,(IF($AW$7&gt;=$C71+1, (-FV(InflationRate,$AW$7,,$G71)), 0)),0)</f>
        <v>0</v>
      </c>
      <c r="BA71" s="160">
        <f>IF($C71&gt;0,(IF($C71=$BA$7,(-FV(InflationRate,$BA$7,,$D71)),0)),0)</f>
        <v>0</v>
      </c>
      <c r="BB71" s="150">
        <f>IF($C71&gt;0,(IF($BA$7&gt;=$C71+1, (-FV(InflationRate,$BA$7,,$E71)), 0)),0)</f>
        <v>0</v>
      </c>
      <c r="BC71" s="150">
        <f>IF($C71&gt;0,(IF($BA$7&gt;=$C71+1, (-FV(InflationRate,$BA$7,,$F71)), 0)),0)</f>
        <v>0</v>
      </c>
      <c r="BD71" s="176">
        <f>IF($C71&gt;0,(IF($BA$7&gt;=$C71+1, (-FV(InflationRate,$BA$7,,$G71)), 0)),0)</f>
        <v>0</v>
      </c>
      <c r="BE71" s="168">
        <f>IF($C71&gt;0,(IF($C71=$BE$7,(-FV(InflationRate,$BE$7,,$D71)),0)),0)</f>
        <v>0</v>
      </c>
      <c r="BF71" s="149">
        <f>IF($C71&gt;0,(IF($BE$7&gt;=$C71+1, (-FV(InflationRate,$BE$7,,$E71)), 0)),0)</f>
        <v>0</v>
      </c>
      <c r="BG71" s="149">
        <f>IF($C71&gt;0,(IF($BE$7&gt;=$C71+1, (-FV(InflationRate,$BE$7,,$F71)), 0)),0)</f>
        <v>0</v>
      </c>
      <c r="BH71" s="171">
        <f>IF($C71&gt;0,(IF($BE$7&gt;=$C71+1, (-FV(InflationRate,$BE$7,,$G71)), 0)),0)</f>
        <v>0</v>
      </c>
      <c r="BI71" s="160">
        <f>IF($C71&gt;0,(IF($C71=$BI$7,(-FV(InflationRate,$BI$7,,$D71)),0)),0)</f>
        <v>0</v>
      </c>
      <c r="BJ71" s="150">
        <f>IF($C71&gt;0,(IF($BI$7&gt;=$C71+1, (-FV(InflationRate,$BI$7,,$E71)), 0)),0)</f>
        <v>0</v>
      </c>
      <c r="BK71" s="150">
        <f>IF($C71&gt;0,(IF($BI$7&gt;=$C71+1, (-FV(InflationRate,$BI$7,,$F71)), 0)),0)</f>
        <v>0</v>
      </c>
      <c r="BL71" s="176">
        <f>IF($C71&gt;0,(IF($BI$7&gt;=$C71+1, (-FV(InflationRate,$BI$7,,$G71)), 0)),0)</f>
        <v>0</v>
      </c>
      <c r="BM71" s="168">
        <f>IF($C71&gt;0,(IF($C71=$BM$7,(-FV(InflationRate,$BM$7,,$D71)),0)),0)</f>
        <v>0</v>
      </c>
      <c r="BN71" s="149">
        <f>IF($C71&gt;0,(IF($BM$7&gt;=$C71+1, (-FV(InflationRate,$BM$7,,$E71)), 0)),0)</f>
        <v>0</v>
      </c>
      <c r="BO71" s="149">
        <f>IF($C71&gt;0,(IF($BM$7&gt;=$C71+1, (-FV(InflationRate,$BM$7,,$F71)), 0)),0)</f>
        <v>0</v>
      </c>
      <c r="BP71" s="157">
        <f>IF($C71&gt;0,(IF($BM$7&gt;=$C71+1, (-FV(InflationRate,$BM$7,,$G71)), 0)),0)</f>
        <v>0</v>
      </c>
      <c r="BQ71" s="160">
        <f>IF($C71&gt;0,(IF($C71=$BQ$7,(-FV(InflationRate,$BQ$7,,$D71)),0)),0)</f>
        <v>0</v>
      </c>
      <c r="BR71" s="150">
        <f>IF($C71&gt;0,(IF($BQ$7&gt;=$C71+1, (-FV(InflationRate,$BQ$7,,$E71)), 0)),0)</f>
        <v>0</v>
      </c>
      <c r="BS71" s="150">
        <f>IF($C71&gt;0,(IF($BQ$7&gt;=$C71+1, (-FV(InflationRate,$BQ$7,,$F71)), 0)),0)</f>
        <v>0</v>
      </c>
      <c r="BT71" s="176">
        <f>IF($C71&gt;0,(IF($BQ$7&gt;=$C71+1, (-FV(InflationRate,$BQ$7,,$G71)), 0)),0)</f>
        <v>0</v>
      </c>
      <c r="BU71" s="168">
        <f>IF($C71&gt;0,(IF($C71=$BU$7,(-FV(InflationRate,$BU$7,,$D71)),0)),0)</f>
        <v>0</v>
      </c>
      <c r="BV71" s="149">
        <f>IF($C71&gt;0,(IF($BU$7&gt;=$C71+1, (-FV(InflationRate,$BU$7,,$E71)), 0)),0)</f>
        <v>0</v>
      </c>
      <c r="BW71" s="149">
        <f>IF($C71&gt;0,(IF($BU$7&gt;=$C71+1, (-FV(InflationRate,$BU$7,,$F71)), 0)),0)</f>
        <v>0</v>
      </c>
      <c r="BX71" s="157">
        <f>IF($C71&gt;0,(IF($BU$7&gt;=$C71+1, (-FV(InflationRate,$BU$7,,$G71)), 0)),0)</f>
        <v>0</v>
      </c>
      <c r="BY71" s="160">
        <f>IF($C71&gt;0,(IF($C71=$BY$7,(-FV(InflationRate,$BY$7,,$D71)),0)),0)</f>
        <v>0</v>
      </c>
      <c r="BZ71" s="150">
        <f>IF($C71&gt;0,(IF($BY$7&gt;=$C71+1, (-FV(InflationRate,$BY$7,,$E71)), 0)),0)</f>
        <v>0</v>
      </c>
      <c r="CA71" s="150">
        <f>IF($C71&gt;0,(IF($BY$7&gt;=$C71+1, (-FV(InflationRate,$BY$7,,$F71)), 0)),0)</f>
        <v>0</v>
      </c>
      <c r="CB71" s="176">
        <f>IF($C71&gt;0,(IF($BY$7&gt;=$C71+1, (-FV(InflationRate,$BY$7,,$G71)), 0)),0)</f>
        <v>0</v>
      </c>
      <c r="CC71" s="168">
        <f>IF($C71&gt;0,(IF($C71=$CC$7,(-FV(InflationRate,$CC$7,,$D71)),0)),0)</f>
        <v>0</v>
      </c>
      <c r="CD71" s="149">
        <f>IF($C71&gt;0,(IF($CC$7&gt;=$C71+1, (-FV(InflationRate,$CC$7,,$E71)), 0)),0)</f>
        <v>0</v>
      </c>
      <c r="CE71" s="149">
        <f>IF($C71&gt;0,(IF($CC$7&gt;=$C71+1, (-FV(InflationRate,$CC$7,,$F71)), 0)),0)</f>
        <v>0</v>
      </c>
      <c r="CF71" s="157">
        <f>IF($C71&gt;0,(IF($CC$7&gt;=$C71+1, (-FV(InflationRate,$CC$7,,$G71)), 0)),0)</f>
        <v>0</v>
      </c>
      <c r="CG71" s="160">
        <f>IF($C71&gt;0,(IF($C71=$CG$7,(-FV(InflationRate,$CG$7,,$D71)),0)),0)</f>
        <v>0</v>
      </c>
      <c r="CH71" s="150">
        <f>IF($C71&gt;0,(IF($CG$7&gt;=$C71+1, (-FV(InflationRate,$CG$7,,$E71)), 0)),0)</f>
        <v>0</v>
      </c>
      <c r="CI71" s="150">
        <f>IF($C71&gt;0,(IF($CG$7&gt;=$C71+1, (-FV(InflationRate,$CG$7,,$F71)), 0)),0)</f>
        <v>0</v>
      </c>
      <c r="CJ71" s="176">
        <f>IF($C71&gt;0,(IF($CG$7&gt;=$C71+1, (-FV(InflationRate,$CG$7,,$G71)), 0)),0)</f>
        <v>0</v>
      </c>
      <c r="CK71" s="168">
        <f>IF($C71&gt;0,(IF($C71=$CK$7,(-FV(InflationRate,$CK$7,,$D71)),0)),0)</f>
        <v>0</v>
      </c>
      <c r="CL71" s="149">
        <f>IF($C71&gt;0,(IF($CK$7&gt;=$C71+1, (-FV(InflationRate,$CK$7,,$E71)), 0)),0)</f>
        <v>0</v>
      </c>
      <c r="CM71" s="149">
        <f>IF($C71&gt;0,(IF($CK$7&gt;=$C71+1, (-FV(InflationRate,$CK$7,,$F71)), 0)),0)</f>
        <v>0</v>
      </c>
      <c r="CN71" s="157">
        <f>IF($C71&gt;0,(IF($CK$7&gt;=$C71+1, (-FV(InflationRate,$CK$7,,$G71)), 0)),0)</f>
        <v>0</v>
      </c>
      <c r="CO71" s="160">
        <f>IF($C71&gt;0,(IF($C71=$CO$7,(-FV(InflationRate,$CO$7,,$D71)),0)),0)</f>
        <v>0</v>
      </c>
      <c r="CP71" s="150">
        <f>IF($C71&gt;0,(IF($CO$7&gt;=$C71+1, (-FV(InflationRate,$CO$7,,$E71)), 0)),0)</f>
        <v>0</v>
      </c>
      <c r="CQ71" s="150">
        <f>IF($C71&gt;0,(IF($CO$7&gt;=$C71+1, (-FV(InflationRate,$CO$7,,$F71)), 0)),0)</f>
        <v>0</v>
      </c>
      <c r="CR71" s="176">
        <f>IF($C71&gt;0,(IF($CO$7&gt;=$C71+1, (-FV(InflationRate,$CO$7,,$G71)), 0)),0)</f>
        <v>0</v>
      </c>
      <c r="CS71" s="168">
        <f>IF($C71&gt;0,(IF($C71=$CS$7,(-FV(InflationRate,$CS$7,,$D71)),0)),0)</f>
        <v>0</v>
      </c>
      <c r="CT71" s="149">
        <f>IF($C71&gt;0,(IF($CS$7&gt;=$C71+1, (-FV(InflationRate,$CS$7,,$E71)), 0)),0)</f>
        <v>0</v>
      </c>
      <c r="CU71" s="149">
        <f>IF($C71&gt;0,(IF($CS$7&gt;=$C71+1, (-FV(InflationRate,$CS$7,,$F71)), 0)),0)</f>
        <v>0</v>
      </c>
      <c r="CV71" s="157">
        <f>IF($C71&gt;0,(IF($CS$7&gt;=$C71+1, (-FV(InflationRate,$CS$7,,$G71)), 0)),0)</f>
        <v>0</v>
      </c>
      <c r="CW71" s="160">
        <f>IF($C71&gt;0,(IF($C71=$CW$7,(-FV(InflationRate,$CW$7,,$D71)),0)),0)</f>
        <v>0</v>
      </c>
      <c r="CX71" s="150">
        <f>IF($C71&gt;0,(IF($CW$7&gt;=$C71+1, (-FV(InflationRate,$CW$7,,$E71)), 0)),0)</f>
        <v>0</v>
      </c>
      <c r="CY71" s="150">
        <f>IF($C71&gt;0,(IF($CW$7&gt;=$C71+1, (-FV(InflationRate,$CW$7,,$F71)), 0)),0)</f>
        <v>0</v>
      </c>
      <c r="CZ71" s="176">
        <f>IF($C71&gt;0,(IF($CW$7&gt;=$C71+1, (-FV(InflationRate,$CW$7,,$G71)), 0)),0)</f>
        <v>0</v>
      </c>
      <c r="DA71" s="168">
        <f>IF($C71&gt;0,(IF($C71=$DA$7,(-FV(InflationRate,$DA$7,,$D71)),0)),0)</f>
        <v>0</v>
      </c>
      <c r="DB71" s="149">
        <f>IF($C71&gt;0,(IF($DA$7&gt;=$C71+1, (-FV(InflationRate,$DA$7,,$E71)), 0)),0)</f>
        <v>0</v>
      </c>
      <c r="DC71" s="149">
        <f>IF($C71&gt;0,(IF($DA$7&gt;=$C71+1, (-FV(InflationRate,$DA$7,,$F71)), 0)),0)</f>
        <v>0</v>
      </c>
      <c r="DD71" s="157">
        <f>IF($C71&gt;0,(IF($DA$7&gt;=$C71+1, (-FV(InflationRate,$DA$7,,$G71)), 0)),0)</f>
        <v>0</v>
      </c>
    </row>
    <row r="72" spans="2:108" ht="12.75" customHeight="1" x14ac:dyDescent="0.2">
      <c r="B72" s="182" t="s">
        <v>216</v>
      </c>
      <c r="C72" s="189"/>
      <c r="D72" s="168"/>
      <c r="E72" s="149"/>
      <c r="F72" s="149"/>
      <c r="G72" s="149"/>
      <c r="H72" s="168"/>
      <c r="I72" s="600"/>
      <c r="J72" s="600"/>
      <c r="K72" s="600"/>
      <c r="L72" s="600"/>
      <c r="M72" s="600"/>
      <c r="N72" s="600"/>
      <c r="O72" s="600"/>
      <c r="P72" s="600"/>
      <c r="Q72" s="600"/>
      <c r="R72" s="600"/>
      <c r="S72" s="600"/>
      <c r="T72" s="600"/>
      <c r="U72" s="600"/>
      <c r="V72" s="600"/>
      <c r="W72" s="600"/>
      <c r="X72" s="600"/>
      <c r="Y72" s="600"/>
      <c r="Z72" s="600"/>
      <c r="AA72" s="600"/>
      <c r="AB72" s="601"/>
      <c r="AC72" s="160"/>
      <c r="AD72" s="150"/>
      <c r="AE72" s="150"/>
      <c r="AF72" s="165"/>
      <c r="AG72" s="168"/>
      <c r="AH72" s="149"/>
      <c r="AI72" s="149"/>
      <c r="AJ72" s="171"/>
      <c r="AK72" s="160"/>
      <c r="AL72" s="150"/>
      <c r="AM72" s="150"/>
      <c r="AN72" s="165"/>
      <c r="AO72" s="168"/>
      <c r="AP72" s="149"/>
      <c r="AQ72" s="149"/>
      <c r="AR72" s="157"/>
      <c r="AS72" s="160"/>
      <c r="AT72" s="150"/>
      <c r="AU72" s="150"/>
      <c r="AV72" s="165"/>
      <c r="AW72" s="168"/>
      <c r="AX72" s="149"/>
      <c r="AY72" s="149"/>
      <c r="AZ72" s="157"/>
      <c r="BA72" s="160"/>
      <c r="BB72" s="150"/>
      <c r="BC72" s="150"/>
      <c r="BD72" s="176"/>
      <c r="BE72" s="168"/>
      <c r="BF72" s="149"/>
      <c r="BG72" s="149"/>
      <c r="BH72" s="171"/>
      <c r="BI72" s="160"/>
      <c r="BJ72" s="150"/>
      <c r="BK72" s="150"/>
      <c r="BL72" s="176"/>
      <c r="BM72" s="168"/>
      <c r="BN72" s="149"/>
      <c r="BO72" s="149"/>
      <c r="BP72" s="157"/>
      <c r="BQ72" s="160"/>
      <c r="BR72" s="150"/>
      <c r="BS72" s="150"/>
      <c r="BT72" s="176"/>
      <c r="BU72" s="168"/>
      <c r="BV72" s="149"/>
      <c r="BW72" s="149"/>
      <c r="BX72" s="157"/>
      <c r="BY72" s="160"/>
      <c r="BZ72" s="150"/>
      <c r="CA72" s="150"/>
      <c r="CB72" s="176"/>
      <c r="CC72" s="168"/>
      <c r="CD72" s="149"/>
      <c r="CE72" s="149"/>
      <c r="CF72" s="157"/>
      <c r="CG72" s="160"/>
      <c r="CH72" s="150"/>
      <c r="CI72" s="150"/>
      <c r="CJ72" s="176"/>
      <c r="CK72" s="168"/>
      <c r="CL72" s="149"/>
      <c r="CM72" s="149"/>
      <c r="CN72" s="157"/>
      <c r="CO72" s="160"/>
      <c r="CP72" s="150"/>
      <c r="CQ72" s="150"/>
      <c r="CR72" s="176"/>
      <c r="CS72" s="168"/>
      <c r="CT72" s="149"/>
      <c r="CU72" s="149"/>
      <c r="CV72" s="157"/>
      <c r="CW72" s="160"/>
      <c r="CX72" s="150"/>
      <c r="CY72" s="150"/>
      <c r="CZ72" s="176"/>
      <c r="DA72" s="168"/>
      <c r="DB72" s="149"/>
      <c r="DC72" s="149"/>
      <c r="DD72" s="157"/>
    </row>
    <row r="73" spans="2:108" ht="12.75" customHeight="1" x14ac:dyDescent="0.2">
      <c r="B73" s="183" t="s">
        <v>220</v>
      </c>
      <c r="C73" s="556">
        <v>6</v>
      </c>
      <c r="D73" s="557">
        <f>('Collection - MP'!$F$31+'Collection - MP'!$F$32)*0.8</f>
        <v>1866960</v>
      </c>
      <c r="E73" s="149"/>
      <c r="F73" s="149"/>
      <c r="G73" s="149"/>
      <c r="H73" s="168">
        <f>SUM(I73:AB73)</f>
        <v>2038741.239750986</v>
      </c>
      <c r="I73" s="610">
        <f>-PV(InterestRate,I$8,,(SUM(AC73:AF73)))</f>
        <v>0</v>
      </c>
      <c r="J73" s="610">
        <f>-PV(InterestRate,J$8,,(SUM(AG73:AJ73)))</f>
        <v>0</v>
      </c>
      <c r="K73" s="610">
        <f>-PV(InterestRate,K$8,,(SUM(AK73:AN73)))</f>
        <v>0</v>
      </c>
      <c r="L73" s="610">
        <f>-PV(InterestRate,L$8,,(SUM(AO73:AR73)))</f>
        <v>0</v>
      </c>
      <c r="M73" s="610">
        <f>-PV(InterestRate,M$8,,(SUM(AS73:AV73)))</f>
        <v>0</v>
      </c>
      <c r="N73" s="610">
        <f>-PV(InterestRate,N$8,,(SUM(AW73:AZ73)))</f>
        <v>2038741.239750986</v>
      </c>
      <c r="O73" s="610">
        <f>-PV(InterestRate,O$8,,(SUM(BA73:BD73)))</f>
        <v>0</v>
      </c>
      <c r="P73" s="610">
        <f>-PV(InterestRate,P$8,,(SUM(BE73:BH73)))</f>
        <v>0</v>
      </c>
      <c r="Q73" s="610">
        <f>-PV(InterestRate,Q$8,,(SUM(BI73:BL73)))</f>
        <v>0</v>
      </c>
      <c r="R73" s="610">
        <f>-PV(InterestRate,R$8,,(SUM(BM73:BP73)))</f>
        <v>0</v>
      </c>
      <c r="S73" s="610">
        <f>-PV(InterestRate,S$8,,(SUM(BQ73:BT73)))</f>
        <v>0</v>
      </c>
      <c r="T73" s="610">
        <f>-PV(InterestRate,T$8,,(SUM(BU73:BX73)))</f>
        <v>0</v>
      </c>
      <c r="U73" s="610">
        <f>-PV(InterestRate,U$8,,(SUM(BY73:CB73)))</f>
        <v>0</v>
      </c>
      <c r="V73" s="610">
        <f>-PV(InterestRate,V$8,,(SUM(CC73:CF73)))</f>
        <v>0</v>
      </c>
      <c r="W73" s="610">
        <f>-PV(InterestRate,W$8,,(SUM(CG73:CJ73)))</f>
        <v>0</v>
      </c>
      <c r="X73" s="610">
        <f>-PV(InterestRate,X$8,,(SUM(CK73:CN73)))</f>
        <v>0</v>
      </c>
      <c r="Y73" s="610">
        <f>-PV(InterestRate,Y$8,,(SUM(CO73:CR73)))</f>
        <v>0</v>
      </c>
      <c r="Z73" s="610">
        <f>-PV(InterestRate,Z$8,,(SUM(CS73:CV73)))</f>
        <v>0</v>
      </c>
      <c r="AA73" s="610">
        <f>-PV(InterestRate,AA$8,,(SUM(CW73:CZ73)))</f>
        <v>0</v>
      </c>
      <c r="AB73" s="611">
        <f>-PV(InterestRate,AB$8,,(SUM(DA73:DD73)))</f>
        <v>0</v>
      </c>
      <c r="AC73" s="160">
        <f>IF($C73&gt;0,(IF($C73=$AC$7,$D73,0)),0)</f>
        <v>0</v>
      </c>
      <c r="AD73" s="150">
        <f>IF($C73&gt;0,(IF($AC$7&gt;=$C73+1,$E73,0)),0)</f>
        <v>0</v>
      </c>
      <c r="AE73" s="150">
        <f>IF($C73&gt;0,(IF($C73=$AC$7,$F73,0)),0)</f>
        <v>0</v>
      </c>
      <c r="AF73" s="165">
        <f>IF($C73&gt;0,(IF($AC$7&gt;=$C73+1,$G73,0)),0)</f>
        <v>0</v>
      </c>
      <c r="AG73" s="168">
        <f>IF($C73&gt;0,(IF($C73=$AG$7,(-FV(InflationRate,$AG$7,,$D73)),0)),0)</f>
        <v>0</v>
      </c>
      <c r="AH73" s="149">
        <f>IF($C73&gt;0,(IF($AG$7&gt;=$C73+1, (-FV(InflationRate,$AG$7,,$E73)), 0)),0)</f>
        <v>0</v>
      </c>
      <c r="AI73" s="149">
        <f>IF($C73&gt;0,(IF($AG$7&gt;=$C73+1, (-FV(InflationRate,$AG$7,,$F73)), 0)),0)</f>
        <v>0</v>
      </c>
      <c r="AJ73" s="171">
        <f>IF($C73&gt;0,(IF($AG$7&gt;=$C73+1, (-FV(InflationRate,$AG$7,,$G73)), 0)),0)</f>
        <v>0</v>
      </c>
      <c r="AK73" s="160">
        <f>IF($C73&gt;0,(IF($C73=$AK$7,(-FV(InflationRate,$AK$7,,$D73)),0)),0)</f>
        <v>0</v>
      </c>
      <c r="AL73" s="150">
        <f>IF($C73&gt;0,(IF($AK$7&gt;=$C73+1, (-FV(InflationRate,$AK$7,,$E73)), 0)),0)</f>
        <v>0</v>
      </c>
      <c r="AM73" s="150">
        <f>IF($C73&gt;0,(IF($AK$7&gt;=$C73+1, (-FV(InflationRate,$AK$7,,$F73)), 0)),0)</f>
        <v>0</v>
      </c>
      <c r="AN73" s="165">
        <f>IF($C73&gt;0,(IF($AK$7&gt;=$C73+1, (-FV(InflationRate,$AK$7,,$G73)), 0)),0)</f>
        <v>0</v>
      </c>
      <c r="AO73" s="168">
        <f>IF($C73&gt;0,(IF($C73=$AO$7,(-FV(InflationRate,$AO$7,,$D73)),0)),0)</f>
        <v>0</v>
      </c>
      <c r="AP73" s="149">
        <f>IF($C73&gt;0,(IF($AO$7&gt;=$C73+1, (-FV(InflationRate,$AO$7,,$E73)), 0)),0)</f>
        <v>0</v>
      </c>
      <c r="AQ73" s="149">
        <f>IF($C73&gt;0,(IF($AO$7&gt;=$C73+1, (-FV(InflationRate,$AO$7,,$F73)), 0)),0)</f>
        <v>0</v>
      </c>
      <c r="AR73" s="157">
        <f>IF($C73&gt;0,(IF($AO$7&gt;=$C73+1, (-FV(InflationRate,$AO$7,,$G73)), 0)),0)</f>
        <v>0</v>
      </c>
      <c r="AS73" s="160">
        <f>IF($C73&gt;0,(IF($C73=$AS$7,(-FV(InflationRate,$AS$7,,$D73)),0)),0)</f>
        <v>0</v>
      </c>
      <c r="AT73" s="150">
        <f>IF($C73&gt;0,(IF($AS$7&gt;=$C73+1, (-FV(InflationRate,$AS$7,,$E73)), 0)),0)</f>
        <v>0</v>
      </c>
      <c r="AU73" s="150">
        <f>IF($C73&gt;0,(IF($AS$7&gt;=$C73+1, (-FV(InflationRate,$AS$7,,$F73)), 0)),0)</f>
        <v>0</v>
      </c>
      <c r="AV73" s="165">
        <f>IF($C73&gt;0,(IF($AS$7&gt;=$C73+1, (-FV(InflationRate,$AS$7,,$G73)), 0)),0)</f>
        <v>0</v>
      </c>
      <c r="AW73" s="168">
        <f>IF($C73&gt;0,(IF($C73=$AW$7,(-FV(InflationRate,$AW$7,,$D73)),0)),0)</f>
        <v>2229247.8755277819</v>
      </c>
      <c r="AX73" s="149">
        <f>IF($C73&gt;0,(IF($AW$7&gt;=$C73+1, (-FV(InflationRate,$AW$7,,$E73)), 0)),0)</f>
        <v>0</v>
      </c>
      <c r="AY73" s="149">
        <f>IF($C73&gt;0,(IF($AW$7&gt;=$C73+1, (-FV(InflationRate,$AW$7,,$F73)), 0)),0)</f>
        <v>0</v>
      </c>
      <c r="AZ73" s="157">
        <f>IF($C73&gt;0,(IF($AW$7&gt;=$C73+1, (-FV(InflationRate,$AW$7,,$G73)), 0)),0)</f>
        <v>0</v>
      </c>
      <c r="BA73" s="160">
        <f>IF($C73&gt;0,(IF($C73=$BA$7,(-FV(InflationRate,$BA$7,,$D73)),0)),0)</f>
        <v>0</v>
      </c>
      <c r="BB73" s="150">
        <f>IF($C73&gt;0,(IF($BA$7&gt;=$C73+1, (-FV(InflationRate,$BA$7,,$E73)), 0)),0)</f>
        <v>0</v>
      </c>
      <c r="BC73" s="150">
        <f>IF($C73&gt;0,(IF($BA$7&gt;=$C73+1, (-FV(InflationRate,$BA$7,,$F73)), 0)),0)</f>
        <v>0</v>
      </c>
      <c r="BD73" s="176">
        <f>IF($C73&gt;0,(IF($BA$7&gt;=$C73+1, (-FV(InflationRate,$BA$7,,$G73)), 0)),0)</f>
        <v>0</v>
      </c>
      <c r="BE73" s="168">
        <f>IF($C73&gt;0,(IF($C73=$BE$7,(-FV(InflationRate,$BE$7,,$D73)),0)),0)</f>
        <v>0</v>
      </c>
      <c r="BF73" s="149">
        <f>IF($C73&gt;0,(IF($BE$7&gt;=$C73+1, (-FV(InflationRate,$BE$7,,$E73)), 0)),0)</f>
        <v>0</v>
      </c>
      <c r="BG73" s="149">
        <f>IF($C73&gt;0,(IF($BE$7&gt;=$C73+1, (-FV(InflationRate,$BE$7,,$F73)), 0)),0)</f>
        <v>0</v>
      </c>
      <c r="BH73" s="171">
        <f>IF($C73&gt;0,(IF($BE$7&gt;=$C73+1, (-FV(InflationRate,$BE$7,,$G73)), 0)),0)</f>
        <v>0</v>
      </c>
      <c r="BI73" s="160">
        <f>IF($C73&gt;0,(IF($C73=$BI$7,(-FV(InflationRate,$BI$7,,$D73)),0)),0)</f>
        <v>0</v>
      </c>
      <c r="BJ73" s="150">
        <f>IF($C73&gt;0,(IF($BI$7&gt;=$C73+1, (-FV(InflationRate,$BI$7,,$E73)), 0)),0)</f>
        <v>0</v>
      </c>
      <c r="BK73" s="150">
        <f>IF($C73&gt;0,(IF($BI$7&gt;=$C73+1, (-FV(InflationRate,$BI$7,,$F73)), 0)),0)</f>
        <v>0</v>
      </c>
      <c r="BL73" s="176">
        <f>IF($C73&gt;0,(IF($BI$7&gt;=$C73+1, (-FV(InflationRate,$BI$7,,$G73)), 0)),0)</f>
        <v>0</v>
      </c>
      <c r="BM73" s="168">
        <f>IF($C73&gt;0,(IF($C73=$BM$7,(-FV(InflationRate,$BM$7,,$D73)),0)),0)</f>
        <v>0</v>
      </c>
      <c r="BN73" s="149">
        <f>IF($C73&gt;0,(IF($BM$7&gt;=$C73+1, (-FV(InflationRate,$BM$7,,$E73)), 0)),0)</f>
        <v>0</v>
      </c>
      <c r="BO73" s="149">
        <f>IF($C73&gt;0,(IF($BM$7&gt;=$C73+1, (-FV(InflationRate,$BM$7,,$F73)), 0)),0)</f>
        <v>0</v>
      </c>
      <c r="BP73" s="157">
        <f>IF($C73&gt;0,(IF($BM$7&gt;=$C73+1, (-FV(InflationRate,$BM$7,,$G73)), 0)),0)</f>
        <v>0</v>
      </c>
      <c r="BQ73" s="160">
        <f>IF($C73&gt;0,(IF($C73=$BQ$7,(-FV(InflationRate,$BQ$7,,$D73)),0)),0)</f>
        <v>0</v>
      </c>
      <c r="BR73" s="150">
        <f>IF($C73&gt;0,(IF($BQ$7&gt;=$C73+1, (-FV(InflationRate,$BQ$7,,$E73)), 0)),0)</f>
        <v>0</v>
      </c>
      <c r="BS73" s="150">
        <f>IF($C73&gt;0,(IF($BQ$7&gt;=$C73+1, (-FV(InflationRate,$BQ$7,,$F73)), 0)),0)</f>
        <v>0</v>
      </c>
      <c r="BT73" s="176">
        <f>IF($C73&gt;0,(IF($BQ$7&gt;=$C73+1, (-FV(InflationRate,$BQ$7,,$G73)), 0)),0)</f>
        <v>0</v>
      </c>
      <c r="BU73" s="168">
        <f>IF($C73&gt;0,(IF($C73=$BU$7,(-FV(InflationRate,$BU$7,,$D73)),0)),0)</f>
        <v>0</v>
      </c>
      <c r="BV73" s="149">
        <f>IF($C73&gt;0,(IF($BU$7&gt;=$C73+1, (-FV(InflationRate,$BU$7,,$E73)), 0)),0)</f>
        <v>0</v>
      </c>
      <c r="BW73" s="149">
        <f>IF($C73&gt;0,(IF($BU$7&gt;=$C73+1, (-FV(InflationRate,$BU$7,,$F73)), 0)),0)</f>
        <v>0</v>
      </c>
      <c r="BX73" s="157">
        <f>IF($C73&gt;0,(IF($BU$7&gt;=$C73+1, (-FV(InflationRate,$BU$7,,$G73)), 0)),0)</f>
        <v>0</v>
      </c>
      <c r="BY73" s="160">
        <f>IF($C73&gt;0,(IF($C73=$BY$7,(-FV(InflationRate,$BY$7,,$D73)),0)),0)</f>
        <v>0</v>
      </c>
      <c r="BZ73" s="150">
        <f>IF($C73&gt;0,(IF($BY$7&gt;=$C73+1, (-FV(InflationRate,$BY$7,,$E73)), 0)),0)</f>
        <v>0</v>
      </c>
      <c r="CA73" s="150">
        <f>IF($C73&gt;0,(IF($BY$7&gt;=$C73+1, (-FV(InflationRate,$BY$7,,$F73)), 0)),0)</f>
        <v>0</v>
      </c>
      <c r="CB73" s="176">
        <f>IF($C73&gt;0,(IF($BY$7&gt;=$C73+1, (-FV(InflationRate,$BY$7,,$G73)), 0)),0)</f>
        <v>0</v>
      </c>
      <c r="CC73" s="168">
        <f>IF($C73&gt;0,(IF($C73=$CC$7,(-FV(InflationRate,$CC$7,,$D73)),0)),0)</f>
        <v>0</v>
      </c>
      <c r="CD73" s="149">
        <f>IF($C73&gt;0,(IF($CC$7&gt;=$C73+1, (-FV(InflationRate,$CC$7,,$E73)), 0)),0)</f>
        <v>0</v>
      </c>
      <c r="CE73" s="149">
        <f>IF($C73&gt;0,(IF($CC$7&gt;=$C73+1, (-FV(InflationRate,$CC$7,,$F73)), 0)),0)</f>
        <v>0</v>
      </c>
      <c r="CF73" s="157">
        <f>IF($C73&gt;0,(IF($CC$7&gt;=$C73+1, (-FV(InflationRate,$CC$7,,$G73)), 0)),0)</f>
        <v>0</v>
      </c>
      <c r="CG73" s="160">
        <f>IF($C73&gt;0,(IF($C73=$CG$7,(-FV(InflationRate,$CG$7,,$D73)),0)),0)</f>
        <v>0</v>
      </c>
      <c r="CH73" s="150">
        <f>IF($C73&gt;0,(IF($CG$7&gt;=$C73+1, (-FV(InflationRate,$CG$7,,$E73)), 0)),0)</f>
        <v>0</v>
      </c>
      <c r="CI73" s="150">
        <f>IF($C73&gt;0,(IF($CG$7&gt;=$C73+1, (-FV(InflationRate,$CG$7,,$F73)), 0)),0)</f>
        <v>0</v>
      </c>
      <c r="CJ73" s="176">
        <f>IF($C73&gt;0,(IF($CG$7&gt;=$C73+1, (-FV(InflationRate,$CG$7,,$G73)), 0)),0)</f>
        <v>0</v>
      </c>
      <c r="CK73" s="168">
        <f>IF($C73&gt;0,(IF($C73=$CK$7,(-FV(InflationRate,$CK$7,,$D73)),0)),0)</f>
        <v>0</v>
      </c>
      <c r="CL73" s="149">
        <f>IF($C73&gt;0,(IF($CK$7&gt;=$C73+1, (-FV(InflationRate,$CK$7,,$E73)), 0)),0)</f>
        <v>0</v>
      </c>
      <c r="CM73" s="149">
        <f>IF($C73&gt;0,(IF($CK$7&gt;=$C73+1, (-FV(InflationRate,$CK$7,,$F73)), 0)),0)</f>
        <v>0</v>
      </c>
      <c r="CN73" s="157">
        <f>IF($C73&gt;0,(IF($CK$7&gt;=$C73+1, (-FV(InflationRate,$CK$7,,$G73)), 0)),0)</f>
        <v>0</v>
      </c>
      <c r="CO73" s="160">
        <f>IF($C73&gt;0,(IF($C73=$CO$7,(-FV(InflationRate,$CO$7,,$D73)),0)),0)</f>
        <v>0</v>
      </c>
      <c r="CP73" s="150">
        <f>IF($C73&gt;0,(IF($CO$7&gt;=$C73+1, (-FV(InflationRate,$CO$7,,$E73)), 0)),0)</f>
        <v>0</v>
      </c>
      <c r="CQ73" s="150">
        <f>IF($C73&gt;0,(IF($CO$7&gt;=$C73+1, (-FV(InflationRate,$CO$7,,$F73)), 0)),0)</f>
        <v>0</v>
      </c>
      <c r="CR73" s="176">
        <f>IF($C73&gt;0,(IF($CO$7&gt;=$C73+1, (-FV(InflationRate,$CO$7,,$G73)), 0)),0)</f>
        <v>0</v>
      </c>
      <c r="CS73" s="168">
        <f>IF($C73&gt;0,(IF($C73=$CS$7,(-FV(InflationRate,$CS$7,,$D73)),0)),0)</f>
        <v>0</v>
      </c>
      <c r="CT73" s="149">
        <f>IF($C73&gt;0,(IF($CS$7&gt;=$C73+1, (-FV(InflationRate,$CS$7,,$E73)), 0)),0)</f>
        <v>0</v>
      </c>
      <c r="CU73" s="149">
        <f>IF($C73&gt;0,(IF($CS$7&gt;=$C73+1, (-FV(InflationRate,$CS$7,,$F73)), 0)),0)</f>
        <v>0</v>
      </c>
      <c r="CV73" s="157">
        <f>IF($C73&gt;0,(IF($CS$7&gt;=$C73+1, (-FV(InflationRate,$CS$7,,$G73)), 0)),0)</f>
        <v>0</v>
      </c>
      <c r="CW73" s="160">
        <f>IF($C73&gt;0,(IF($C73=$CW$7,(-FV(InflationRate,$CW$7,,$D73)),0)),0)</f>
        <v>0</v>
      </c>
      <c r="CX73" s="150">
        <f>IF($C73&gt;0,(IF($CW$7&gt;=$C73+1, (-FV(InflationRate,$CW$7,,$E73)), 0)),0)</f>
        <v>0</v>
      </c>
      <c r="CY73" s="150">
        <f>IF($C73&gt;0,(IF($CW$7&gt;=$C73+1, (-FV(InflationRate,$CW$7,,$F73)), 0)),0)</f>
        <v>0</v>
      </c>
      <c r="CZ73" s="176">
        <f>IF($C73&gt;0,(IF($CW$7&gt;=$C73+1, (-FV(InflationRate,$CW$7,,$G73)), 0)),0)</f>
        <v>0</v>
      </c>
      <c r="DA73" s="168">
        <f>IF($C73&gt;0,(IF($C73=$DA$7,(-FV(InflationRate,$DA$7,,$D73)),0)),0)</f>
        <v>0</v>
      </c>
      <c r="DB73" s="149">
        <f>IF($C73&gt;0,(IF($DA$7&gt;=$C73+1, (-FV(InflationRate,$DA$7,,$E73)), 0)),0)</f>
        <v>0</v>
      </c>
      <c r="DC73" s="149">
        <f>IF($C73&gt;0,(IF($DA$7&gt;=$C73+1, (-FV(InflationRate,$DA$7,,$F73)), 0)),0)</f>
        <v>0</v>
      </c>
      <c r="DD73" s="157">
        <f>IF($C73&gt;0,(IF($DA$7&gt;=$C73+1, (-FV(InflationRate,$DA$7,,$G73)), 0)),0)</f>
        <v>0</v>
      </c>
    </row>
    <row r="74" spans="2:108" ht="12.75" customHeight="1" x14ac:dyDescent="0.2">
      <c r="B74" s="183" t="s">
        <v>270</v>
      </c>
      <c r="C74" s="556">
        <v>8</v>
      </c>
      <c r="D74" s="557">
        <v>12619600</v>
      </c>
      <c r="E74" s="558">
        <v>111800</v>
      </c>
      <c r="F74" s="149"/>
      <c r="G74" s="558">
        <v>3000</v>
      </c>
      <c r="H74" s="168">
        <f>SUM(I74:AB74)</f>
        <v>15897393.075031169</v>
      </c>
      <c r="I74" s="610">
        <f>-PV(InterestRate,I$8,,(SUM(AC74:AF74)))</f>
        <v>0</v>
      </c>
      <c r="J74" s="610">
        <f>-PV(InterestRate,J$8,,(SUM(AG74:AJ74)))</f>
        <v>0</v>
      </c>
      <c r="K74" s="610">
        <f>-PV(InterestRate,K$8,,(SUM(AK74:AN74)))</f>
        <v>0</v>
      </c>
      <c r="L74" s="610">
        <f>-PV(InterestRate,L$8,,(SUM(AO74:AR74)))</f>
        <v>0</v>
      </c>
      <c r="M74" s="610">
        <f>-PV(InterestRate,M$8,,(SUM(AS74:AV74)))</f>
        <v>0</v>
      </c>
      <c r="N74" s="610">
        <f>-PV(InterestRate,N$8,,(SUM(AW74:AZ74)))</f>
        <v>0</v>
      </c>
      <c r="O74" s="610">
        <f>-PV(InterestRate,O$8,,(SUM(BA74:BD74)))</f>
        <v>0</v>
      </c>
      <c r="P74" s="610">
        <f>-PV(InterestRate,P$8,,(SUM(BE74:BH74)))</f>
        <v>14191066.953574371</v>
      </c>
      <c r="Q74" s="610">
        <f>-PV(InterestRate,Q$8,,(SUM(BI74:BL74)))</f>
        <v>131003.38880612551</v>
      </c>
      <c r="R74" s="610">
        <f>-PV(InterestRate,R$8,,(SUM(BM74:BP74)))</f>
        <v>132939.39947813723</v>
      </c>
      <c r="S74" s="610">
        <f>-PV(InterestRate,S$8,,(SUM(BQ74:BT74)))</f>
        <v>134904.02114530187</v>
      </c>
      <c r="T74" s="610">
        <f>-PV(InterestRate,T$8,,(SUM(BU74:BX74)))</f>
        <v>136897.6766302078</v>
      </c>
      <c r="U74" s="610">
        <f>-PV(InterestRate,U$8,,(SUM(BY74:CB74)))</f>
        <v>138920.79500405325</v>
      </c>
      <c r="V74" s="610">
        <f>-PV(InterestRate,V$8,,(SUM(CC74:CF74)))</f>
        <v>140973.81167898999</v>
      </c>
      <c r="W74" s="610">
        <f>-PV(InterestRate,W$8,,(SUM(CG74:CJ74)))</f>
        <v>143057.16850183226</v>
      </c>
      <c r="X74" s="610">
        <f>-PV(InterestRate,X$8,,(SUM(CK74:CN74)))</f>
        <v>145171.31384914997</v>
      </c>
      <c r="Y74" s="610">
        <f>-PV(InterestRate,Y$8,,(SUM(CO74:CR74)))</f>
        <v>147316.70272376799</v>
      </c>
      <c r="Z74" s="610">
        <f>-PV(InterestRate,Z$8,,(SUM(CS74:CV74)))</f>
        <v>149493.79685269066</v>
      </c>
      <c r="AA74" s="610">
        <f>-PV(InterestRate,AA$8,,(SUM(CW74:CZ74)))</f>
        <v>151703.06478647428</v>
      </c>
      <c r="AB74" s="611">
        <f>-PV(InterestRate,AB$8,,(SUM(DA74:DD74)))</f>
        <v>153944.98200006754</v>
      </c>
      <c r="AC74" s="160">
        <f>IF($C74&gt;0,(IF($C74=$AC$7,$D74,0)),0)</f>
        <v>0</v>
      </c>
      <c r="AD74" s="150">
        <f>IF($C74&gt;0,(IF($AC$7&gt;=$C74+1,$E74,0)),0)</f>
        <v>0</v>
      </c>
      <c r="AE74" s="150">
        <f>IF($C74&gt;0,(IF($C74=$AC$7,$F74,0)),0)</f>
        <v>0</v>
      </c>
      <c r="AF74" s="165">
        <f>IF($C74&gt;0,(IF($AC$7&gt;=$C74+1,$G74,0)),0)</f>
        <v>0</v>
      </c>
      <c r="AG74" s="168">
        <f>IF($C74&gt;0,(IF($C74=$AG$7,(-FV(InflationRate,$AG$7,,$D74)),0)),0)</f>
        <v>0</v>
      </c>
      <c r="AH74" s="149">
        <f>IF($C74&gt;0,(IF($AG$7&gt;=$C74+1, (-FV(InflationRate,$AG$7,,$E74)), 0)),0)</f>
        <v>0</v>
      </c>
      <c r="AI74" s="149">
        <f>IF($C74&gt;0,(IF($AG$7&gt;=$C74+1, (-FV(InflationRate,$AG$7,,$F74)), 0)),0)</f>
        <v>0</v>
      </c>
      <c r="AJ74" s="171">
        <f>IF($C74&gt;0,(IF($AG$7&gt;=$C74+1, (-FV(InflationRate,$AG$7,,$G74)), 0)),0)</f>
        <v>0</v>
      </c>
      <c r="AK74" s="160">
        <f>IF($C74&gt;0,(IF($C74=$AK$7,(-FV(InflationRate,$AK$7,,$D74)),0)),0)</f>
        <v>0</v>
      </c>
      <c r="AL74" s="150">
        <f>IF($C74&gt;0,(IF($AK$7&gt;=$C74+1, (-FV(InflationRate,$AK$7,,$E74)), 0)),0)</f>
        <v>0</v>
      </c>
      <c r="AM74" s="150">
        <f>IF($C74&gt;0,(IF($AK$7&gt;=$C74+1, (-FV(InflationRate,$AK$7,,$F74)), 0)),0)</f>
        <v>0</v>
      </c>
      <c r="AN74" s="165">
        <f>IF($C74&gt;0,(IF($AK$7&gt;=$C74+1, (-FV(InflationRate,$AK$7,,$G74)), 0)),0)</f>
        <v>0</v>
      </c>
      <c r="AO74" s="168">
        <f>IF($C74&gt;0,(IF($C74=$AO$7,(-FV(InflationRate,$AO$7,,$D74)),0)),0)</f>
        <v>0</v>
      </c>
      <c r="AP74" s="149">
        <f>IF($C74&gt;0,(IF($AO$7&gt;=$C74+1, (-FV(InflationRate,$AO$7,,$E74)), 0)),0)</f>
        <v>0</v>
      </c>
      <c r="AQ74" s="149">
        <f>IF($C74&gt;0,(IF($AO$7&gt;=$C74+1, (-FV(InflationRate,$AO$7,,$F74)), 0)),0)</f>
        <v>0</v>
      </c>
      <c r="AR74" s="157">
        <f>IF($C74&gt;0,(IF($AO$7&gt;=$C74+1, (-FV(InflationRate,$AO$7,,$G74)), 0)),0)</f>
        <v>0</v>
      </c>
      <c r="AS74" s="160">
        <f>IF($C74&gt;0,(IF($C74=$AS$7,(-FV(InflationRate,$AS$7,,$D74)),0)),0)</f>
        <v>0</v>
      </c>
      <c r="AT74" s="150">
        <f>IF($C74&gt;0,(IF($AS$7&gt;=$C74+1, (-FV(InflationRate,$AS$7,,$E74)), 0)),0)</f>
        <v>0</v>
      </c>
      <c r="AU74" s="150">
        <f>IF($C74&gt;0,(IF($AS$7&gt;=$C74+1, (-FV(InflationRate,$AS$7,,$F74)), 0)),0)</f>
        <v>0</v>
      </c>
      <c r="AV74" s="165">
        <f>IF($C74&gt;0,(IF($AS$7&gt;=$C74+1, (-FV(InflationRate,$AS$7,,$G74)), 0)),0)</f>
        <v>0</v>
      </c>
      <c r="AW74" s="168">
        <f>IF($C74&gt;0,(IF($C74=$AW$7,(-FV(InflationRate,$AW$7,,$D74)),0)),0)</f>
        <v>0</v>
      </c>
      <c r="AX74" s="149">
        <f>IF($C74&gt;0,(IF($AW$7&gt;=$C74+1, (-FV(InflationRate,$AW$7,,$E74)), 0)),0)</f>
        <v>0</v>
      </c>
      <c r="AY74" s="149">
        <f>IF($C74&gt;0,(IF($AW$7&gt;=$C74+1, (-FV(InflationRate,$AW$7,,$F74)), 0)),0)</f>
        <v>0</v>
      </c>
      <c r="AZ74" s="157">
        <f>IF($C74&gt;0,(IF($AW$7&gt;=$C74+1, (-FV(InflationRate,$AW$7,,$G74)), 0)),0)</f>
        <v>0</v>
      </c>
      <c r="BA74" s="160">
        <f>IF($C74&gt;0,(IF($C74=$BA$7,(-FV(InflationRate,$BA$7,,$D74)),0)),0)</f>
        <v>0</v>
      </c>
      <c r="BB74" s="150">
        <f>IF($C74&gt;0,(IF($BA$7&gt;=$C74+1, (-FV(InflationRate,$BA$7,,$E74)), 0)),0)</f>
        <v>0</v>
      </c>
      <c r="BC74" s="150">
        <f>IF($C74&gt;0,(IF($BA$7&gt;=$C74+1, (-FV(InflationRate,$BA$7,,$F74)), 0)),0)</f>
        <v>0</v>
      </c>
      <c r="BD74" s="176">
        <f>IF($C74&gt;0,(IF($BA$7&gt;=$C74+1, (-FV(InflationRate,$BA$7,,$G74)), 0)),0)</f>
        <v>0</v>
      </c>
      <c r="BE74" s="168">
        <f>IF($C74&gt;0,(IF($C74=$BE$7,(-FV(InflationRate,$BE$7,,$D74)),0)),0)</f>
        <v>15986131.719079157</v>
      </c>
      <c r="BF74" s="149">
        <f>IF($C74&gt;0,(IF($BE$7&gt;=$C74+1, (-FV(InflationRate,$BE$7,,$E74)), 0)),0)</f>
        <v>0</v>
      </c>
      <c r="BG74" s="149">
        <f>IF($C74&gt;0,(IF($BE$7&gt;=$C74+1, (-FV(InflationRate,$BE$7,,$F74)), 0)),0)</f>
        <v>0</v>
      </c>
      <c r="BH74" s="171">
        <f>IF($C74&gt;0,(IF($BE$7&gt;=$C74+1, (-FV(InflationRate,$BE$7,,$G74)), 0)),0)</f>
        <v>0</v>
      </c>
      <c r="BI74" s="160">
        <f>IF($C74&gt;0,(IF($C74=$BI$7,(-FV(InflationRate,$BI$7,,$D74)),0)),0)</f>
        <v>0</v>
      </c>
      <c r="BJ74" s="150">
        <f>IF($C74&gt;0,(IF($BI$7&gt;=$C74+1, (-FV(InflationRate,$BI$7,,$E74)), 0)),0)</f>
        <v>145873.64195210952</v>
      </c>
      <c r="BK74" s="150">
        <f>IF($C74&gt;0,(IF($BI$7&gt;=$C74+1, (-FV(InflationRate,$BI$7,,$F74)), 0)),0)</f>
        <v>0</v>
      </c>
      <c r="BL74" s="176">
        <f>IF($C74&gt;0,(IF($BI$7&gt;=$C74+1, (-FV(InflationRate,$BI$7,,$G74)), 0)),0)</f>
        <v>3914.3195514877334</v>
      </c>
      <c r="BM74" s="168">
        <f>IF($C74&gt;0,(IF($C74=$BM$7,(-FV(InflationRate,$BM$7,,$D74)),0)),0)</f>
        <v>0</v>
      </c>
      <c r="BN74" s="149">
        <f>IF($C74&gt;0,(IF($BM$7&gt;=$C74+1, (-FV(InflationRate,$BM$7,,$E74)), 0)),0)</f>
        <v>150249.85121067282</v>
      </c>
      <c r="BO74" s="149">
        <f>IF($C74&gt;0,(IF($BM$7&gt;=$C74+1, (-FV(InflationRate,$BM$7,,$F74)), 0)),0)</f>
        <v>0</v>
      </c>
      <c r="BP74" s="157">
        <f>IF($C74&gt;0,(IF($BM$7&gt;=$C74+1, (-FV(InflationRate,$BM$7,,$G74)), 0)),0)</f>
        <v>4031.7491380323654</v>
      </c>
      <c r="BQ74" s="160">
        <f>IF($C74&gt;0,(IF($C74=$BQ$7,(-FV(InflationRate,$BQ$7,,$D74)),0)),0)</f>
        <v>0</v>
      </c>
      <c r="BR74" s="150">
        <f>IF($C74&gt;0,(IF($BQ$7&gt;=$C74+1, (-FV(InflationRate,$BQ$7,,$E74)), 0)),0)</f>
        <v>154757.34674699302</v>
      </c>
      <c r="BS74" s="150">
        <f>IF($C74&gt;0,(IF($BQ$7&gt;=$C74+1, (-FV(InflationRate,$BQ$7,,$F74)), 0)),0)</f>
        <v>0</v>
      </c>
      <c r="BT74" s="176">
        <f>IF($C74&gt;0,(IF($BQ$7&gt;=$C74+1, (-FV(InflationRate,$BQ$7,,$G74)), 0)),0)</f>
        <v>4152.7016121733368</v>
      </c>
      <c r="BU74" s="168">
        <f>IF($C74&gt;0,(IF($C74=$BU$7,(-FV(InflationRate,$BU$7,,$D74)),0)),0)</f>
        <v>0</v>
      </c>
      <c r="BV74" s="149">
        <f>IF($C74&gt;0,(IF($BU$7&gt;=$C74+1, (-FV(InflationRate,$BU$7,,$E74)), 0)),0)</f>
        <v>159400.06714940278</v>
      </c>
      <c r="BW74" s="149">
        <f>IF($C74&gt;0,(IF($BU$7&gt;=$C74+1, (-FV(InflationRate,$BU$7,,$F74)), 0)),0)</f>
        <v>0</v>
      </c>
      <c r="BX74" s="157">
        <f>IF($C74&gt;0,(IF($BU$7&gt;=$C74+1, (-FV(InflationRate,$BU$7,,$G74)), 0)),0)</f>
        <v>4277.2826605385362</v>
      </c>
      <c r="BY74" s="160">
        <f>IF($C74&gt;0,(IF($C74=$BY$7,(-FV(InflationRate,$BY$7,,$D74)),0)),0)</f>
        <v>0</v>
      </c>
      <c r="BZ74" s="150">
        <f>IF($C74&gt;0,(IF($BY$7&gt;=$C74+1, (-FV(InflationRate,$BY$7,,$E74)), 0)),0)</f>
        <v>164182.06916388485</v>
      </c>
      <c r="CA74" s="150">
        <f>IF($C74&gt;0,(IF($BY$7&gt;=$C74+1, (-FV(InflationRate,$BY$7,,$F74)), 0)),0)</f>
        <v>0</v>
      </c>
      <c r="CB74" s="176">
        <f>IF($C74&gt;0,(IF($BY$7&gt;=$C74+1, (-FV(InflationRate,$BY$7,,$G74)), 0)),0)</f>
        <v>4405.6011403546918</v>
      </c>
      <c r="CC74" s="168">
        <f>IF($C74&gt;0,(IF($C74=$CC$7,(-FV(InflationRate,$CC$7,,$D74)),0)),0)</f>
        <v>0</v>
      </c>
      <c r="CD74" s="149">
        <f>IF($C74&gt;0,(IF($CC$7&gt;=$C74+1, (-FV(InflationRate,$CC$7,,$E74)), 0)),0)</f>
        <v>169107.5312388014</v>
      </c>
      <c r="CE74" s="149">
        <f>IF($C74&gt;0,(IF($CC$7&gt;=$C74+1, (-FV(InflationRate,$CC$7,,$F74)), 0)),0)</f>
        <v>0</v>
      </c>
      <c r="CF74" s="157">
        <f>IF($C74&gt;0,(IF($CC$7&gt;=$C74+1, (-FV(InflationRate,$CC$7,,$G74)), 0)),0)</f>
        <v>4537.7691745653328</v>
      </c>
      <c r="CG74" s="160">
        <f>IF($C74&gt;0,(IF($C74=$CG$7,(-FV(InflationRate,$CG$7,,$D74)),0)),0)</f>
        <v>0</v>
      </c>
      <c r="CH74" s="150">
        <f>IF($C74&gt;0,(IF($CG$7&gt;=$C74+1, (-FV(InflationRate,$CG$7,,$E74)), 0)),0)</f>
        <v>174180.75717596547</v>
      </c>
      <c r="CI74" s="150">
        <f>IF($C74&gt;0,(IF($CG$7&gt;=$C74+1, (-FV(InflationRate,$CG$7,,$F74)), 0)),0)</f>
        <v>0</v>
      </c>
      <c r="CJ74" s="176">
        <f>IF($C74&gt;0,(IF($CG$7&gt;=$C74+1, (-FV(InflationRate,$CG$7,,$G74)), 0)),0)</f>
        <v>4673.9022498022932</v>
      </c>
      <c r="CK74" s="168">
        <f>IF($C74&gt;0,(IF($C74=$CK$7,(-FV(InflationRate,$CK$7,,$D74)),0)),0)</f>
        <v>0</v>
      </c>
      <c r="CL74" s="149">
        <f>IF($C74&gt;0,(IF($CK$7&gt;=$C74+1, (-FV(InflationRate,$CK$7,,$E74)), 0)),0)</f>
        <v>179406.17989124439</v>
      </c>
      <c r="CM74" s="149">
        <f>IF($C74&gt;0,(IF($CK$7&gt;=$C74+1, (-FV(InflationRate,$CK$7,,$F74)), 0)),0)</f>
        <v>0</v>
      </c>
      <c r="CN74" s="157">
        <f>IF($C74&gt;0,(IF($CK$7&gt;=$C74+1, (-FV(InflationRate,$CK$7,,$G74)), 0)),0)</f>
        <v>4814.1193172963613</v>
      </c>
      <c r="CO74" s="160">
        <f>IF($C74&gt;0,(IF($C74=$CO$7,(-FV(InflationRate,$CO$7,,$D74)),0)),0)</f>
        <v>0</v>
      </c>
      <c r="CP74" s="150">
        <f>IF($C74&gt;0,(IF($CO$7&gt;=$C74+1, (-FV(InflationRate,$CO$7,,$E74)), 0)),0)</f>
        <v>184788.36528798172</v>
      </c>
      <c r="CQ74" s="150">
        <f>IF($C74&gt;0,(IF($CO$7&gt;=$C74+1, (-FV(InflationRate,$CO$7,,$F74)), 0)),0)</f>
        <v>0</v>
      </c>
      <c r="CR74" s="176">
        <f>IF($C74&gt;0,(IF($CO$7&gt;=$C74+1, (-FV(InflationRate,$CO$7,,$G74)), 0)),0)</f>
        <v>4958.5428968152519</v>
      </c>
      <c r="CS74" s="168">
        <f>IF($C74&gt;0,(IF($C74=$CS$7,(-FV(InflationRate,$CS$7,,$D74)),0)),0)</f>
        <v>0</v>
      </c>
      <c r="CT74" s="149">
        <f>IF($C74&gt;0,(IF($CS$7&gt;=$C74+1, (-FV(InflationRate,$CS$7,,$E74)), 0)),0)</f>
        <v>190332.01624662118</v>
      </c>
      <c r="CU74" s="149">
        <f>IF($C74&gt;0,(IF($CS$7&gt;=$C74+1, (-FV(InflationRate,$CS$7,,$F74)), 0)),0)</f>
        <v>0</v>
      </c>
      <c r="CV74" s="157">
        <f>IF($C74&gt;0,(IF($CS$7&gt;=$C74+1, (-FV(InflationRate,$CS$7,,$G74)), 0)),0)</f>
        <v>5107.2991837197096</v>
      </c>
      <c r="CW74" s="160">
        <f>IF($C74&gt;0,(IF($C74=$CW$7,(-FV(InflationRate,$CW$7,,$D74)),0)),0)</f>
        <v>0</v>
      </c>
      <c r="CX74" s="150">
        <f>IF($C74&gt;0,(IF($CW$7&gt;=$C74+1, (-FV(InflationRate,$CW$7,,$E74)), 0)),0)</f>
        <v>196041.97673401982</v>
      </c>
      <c r="CY74" s="150">
        <f>IF($C74&gt;0,(IF($CW$7&gt;=$C74+1, (-FV(InflationRate,$CW$7,,$F74)), 0)),0)</f>
        <v>0</v>
      </c>
      <c r="CZ74" s="176">
        <f>IF($C74&gt;0,(IF($CW$7&gt;=$C74+1, (-FV(InflationRate,$CW$7,,$G74)), 0)),0)</f>
        <v>5260.5181592313011</v>
      </c>
      <c r="DA74" s="168">
        <f>IF($C74&gt;0,(IF($C74=$DA$7,(-FV(InflationRate,$DA$7,,$D74)),0)),0)</f>
        <v>0</v>
      </c>
      <c r="DB74" s="149">
        <f>IF($C74&gt;0,(IF($DA$7&gt;=$C74+1, (-FV(InflationRate,$DA$7,,$E74)), 0)),0)</f>
        <v>201923.23603604041</v>
      </c>
      <c r="DC74" s="149">
        <f>IF($C74&gt;0,(IF($DA$7&gt;=$C74+1, (-FV(InflationRate,$DA$7,,$F74)), 0)),0)</f>
        <v>0</v>
      </c>
      <c r="DD74" s="157">
        <f>IF($C74&gt;0,(IF($DA$7&gt;=$C74+1, (-FV(InflationRate,$DA$7,,$G74)), 0)),0)</f>
        <v>5418.3337040082397</v>
      </c>
    </row>
    <row r="75" spans="2:108" ht="12.75" customHeight="1" x14ac:dyDescent="0.2">
      <c r="B75" s="183" t="s">
        <v>203</v>
      </c>
      <c r="C75" s="556">
        <v>8</v>
      </c>
      <c r="D75" s="168"/>
      <c r="E75" s="149"/>
      <c r="F75" s="558">
        <v>35900</v>
      </c>
      <c r="G75" s="149"/>
      <c r="H75" s="168">
        <f>SUM(I75:AB75)</f>
        <v>533598.49965417292</v>
      </c>
      <c r="I75" s="610">
        <f>-PV(InterestRate,I$8,,(SUM(AC75:AF75)))</f>
        <v>0</v>
      </c>
      <c r="J75" s="610">
        <f>-PV(InterestRate,J$8,,(SUM(AG75:AJ75)))</f>
        <v>0</v>
      </c>
      <c r="K75" s="610">
        <f>-PV(InterestRate,K$8,,(SUM(AK75:AN75)))</f>
        <v>0</v>
      </c>
      <c r="L75" s="610">
        <f>-PV(InterestRate,L$8,,(SUM(AO75:AR75)))</f>
        <v>0</v>
      </c>
      <c r="M75" s="610">
        <f>-PV(InterestRate,M$8,,(SUM(AS75:AV75)))</f>
        <v>0</v>
      </c>
      <c r="N75" s="610">
        <f>-PV(InterestRate,N$8,,(SUM(AW75:AZ75)))</f>
        <v>0</v>
      </c>
      <c r="O75" s="610">
        <f>-PV(InterestRate,O$8,,(SUM(BA75:BD75)))</f>
        <v>0</v>
      </c>
      <c r="P75" s="610">
        <f>-PV(InterestRate,P$8,,(SUM(BE75:BH75)))</f>
        <v>0</v>
      </c>
      <c r="Q75" s="610">
        <f>-PV(InterestRate,Q$8,,(SUM(BI75:BL75)))</f>
        <v>40967.087614459109</v>
      </c>
      <c r="R75" s="610">
        <f>-PV(InterestRate,R$8,,(SUM(BM75:BP75)))</f>
        <v>41572.51255457427</v>
      </c>
      <c r="S75" s="610">
        <f>-PV(InterestRate,S$8,,(SUM(BQ75:BT75)))</f>
        <v>42186.884661292126</v>
      </c>
      <c r="T75" s="610">
        <f>-PV(InterestRate,T$8,,(SUM(BU75:BX75)))</f>
        <v>42810.336158749647</v>
      </c>
      <c r="U75" s="610">
        <f>-PV(InterestRate,U$8,,(SUM(BY75:CB75)))</f>
        <v>43443.001225135107</v>
      </c>
      <c r="V75" s="610">
        <f>-PV(InterestRate,V$8,,(SUM(CC75:CF75)))</f>
        <v>44085.016021565694</v>
      </c>
      <c r="W75" s="610">
        <f>-PV(InterestRate,W$8,,(SUM(CG75:CJ75)))</f>
        <v>44736.518721391796</v>
      </c>
      <c r="X75" s="610">
        <f>-PV(InterestRate,X$8,,(SUM(CK75:CN75)))</f>
        <v>45397.649539934529</v>
      </c>
      <c r="Y75" s="610">
        <f>-PV(InterestRate,Y$8,,(SUM(CO75:CR75)))</f>
        <v>46068.550764662636</v>
      </c>
      <c r="Z75" s="610">
        <f>-PV(InterestRate,Z$8,,(SUM(CS75:CV75)))</f>
        <v>46749.366785815291</v>
      </c>
      <c r="AA75" s="610">
        <f>-PV(InterestRate,AA$8,,(SUM(CW75:CZ75)))</f>
        <v>47440.244127477585</v>
      </c>
      <c r="AB75" s="611">
        <f>-PV(InterestRate,AB$8,,(SUM(DA75:DD75)))</f>
        <v>48141.331479115201</v>
      </c>
      <c r="AC75" s="160">
        <f>IF($C75&gt;0,(IF($C75=$AC$7,$D75,0)),0)</f>
        <v>0</v>
      </c>
      <c r="AD75" s="150">
        <f>IF($C75&gt;0,(IF($AC$7&gt;=$C75+1,$E75,0)),0)</f>
        <v>0</v>
      </c>
      <c r="AE75" s="150">
        <f>IF($C75&gt;0,(IF($C75=$AC$7,$F75,0)),0)</f>
        <v>0</v>
      </c>
      <c r="AF75" s="165">
        <f>IF($C75&gt;0,(IF($AC$7&gt;=$C75+1,$G75,0)),0)</f>
        <v>0</v>
      </c>
      <c r="AG75" s="168">
        <f>IF($C75&gt;0,(IF($C75=$AG$7,(-FV(InflationRate,$AG$7,,$D75)),0)),0)</f>
        <v>0</v>
      </c>
      <c r="AH75" s="149">
        <f>IF($C75&gt;0,(IF($AG$7&gt;=$C75+1, (-FV(InflationRate,$AG$7,,$E75)), 0)),0)</f>
        <v>0</v>
      </c>
      <c r="AI75" s="149">
        <f>IF($C75&gt;0,(IF($AG$7&gt;=$C75+1, (-FV(InflationRate,$AG$7,,$F75)), 0)),0)</f>
        <v>0</v>
      </c>
      <c r="AJ75" s="171">
        <f>IF($C75&gt;0,(IF($AG$7&gt;=$C75+1, (-FV(InflationRate,$AG$7,,$G75)), 0)),0)</f>
        <v>0</v>
      </c>
      <c r="AK75" s="160">
        <f>IF($C75&gt;0,(IF($C75=$AK$7,(-FV(InflationRate,$AK$7,,$D75)),0)),0)</f>
        <v>0</v>
      </c>
      <c r="AL75" s="150">
        <f>IF($C75&gt;0,(IF($AK$7&gt;=$C75+1, (-FV(InflationRate,$AK$7,,$E75)), 0)),0)</f>
        <v>0</v>
      </c>
      <c r="AM75" s="150">
        <f>IF($C75&gt;0,(IF($AK$7&gt;=$C75+1, (-FV(InflationRate,$AK$7,,$F75)), 0)),0)</f>
        <v>0</v>
      </c>
      <c r="AN75" s="165">
        <f>IF($C75&gt;0,(IF($AK$7&gt;=$C75+1, (-FV(InflationRate,$AK$7,,$G75)), 0)),0)</f>
        <v>0</v>
      </c>
      <c r="AO75" s="168">
        <f>IF($C75&gt;0,(IF($C75=$AO$7,(-FV(InflationRate,$AO$7,,$D75)),0)),0)</f>
        <v>0</v>
      </c>
      <c r="AP75" s="149">
        <f>IF($C75&gt;0,(IF($AO$7&gt;=$C75+1, (-FV(InflationRate,$AO$7,,$E75)), 0)),0)</f>
        <v>0</v>
      </c>
      <c r="AQ75" s="149">
        <f>IF($C75&gt;0,(IF($AO$7&gt;=$C75+1, (-FV(InflationRate,$AO$7,,$F75)), 0)),0)</f>
        <v>0</v>
      </c>
      <c r="AR75" s="157">
        <f>IF($C75&gt;0,(IF($AO$7&gt;=$C75+1, (-FV(InflationRate,$AO$7,,$G75)), 0)),0)</f>
        <v>0</v>
      </c>
      <c r="AS75" s="160">
        <f>IF($C75&gt;0,(IF($C75=$AS$7,(-FV(InflationRate,$AS$7,,$D75)),0)),0)</f>
        <v>0</v>
      </c>
      <c r="AT75" s="150">
        <f>IF($C75&gt;0,(IF($AS$7&gt;=$C75+1, (-FV(InflationRate,$AS$7,,$E75)), 0)),0)</f>
        <v>0</v>
      </c>
      <c r="AU75" s="150">
        <f>IF($C75&gt;0,(IF($AS$7&gt;=$C75+1, (-FV(InflationRate,$AS$7,,$F75)), 0)),0)</f>
        <v>0</v>
      </c>
      <c r="AV75" s="165">
        <f>IF($C75&gt;0,(IF($AS$7&gt;=$C75+1, (-FV(InflationRate,$AS$7,,$G75)), 0)),0)</f>
        <v>0</v>
      </c>
      <c r="AW75" s="168">
        <f>IF($C75&gt;0,(IF($C75=$AW$7,(-FV(InflationRate,$AW$7,,$D75)),0)),0)</f>
        <v>0</v>
      </c>
      <c r="AX75" s="149">
        <f>IF($C75&gt;0,(IF($AW$7&gt;=$C75+1, (-FV(InflationRate,$AW$7,,$E75)), 0)),0)</f>
        <v>0</v>
      </c>
      <c r="AY75" s="149">
        <f>IF($C75&gt;0,(IF($AW$7&gt;=$C75+1, (-FV(InflationRate,$AW$7,,$F75)), 0)),0)</f>
        <v>0</v>
      </c>
      <c r="AZ75" s="157">
        <f>IF($C75&gt;0,(IF($AW$7&gt;=$C75+1, (-FV(InflationRate,$AW$7,,$G75)), 0)),0)</f>
        <v>0</v>
      </c>
      <c r="BA75" s="160">
        <f>IF($C75&gt;0,(IF($C75=$BA$7,(-FV(InflationRate,$BA$7,,$D75)),0)),0)</f>
        <v>0</v>
      </c>
      <c r="BB75" s="150">
        <f>IF($C75&gt;0,(IF($BA$7&gt;=$C75+1, (-FV(InflationRate,$BA$7,,$E75)), 0)),0)</f>
        <v>0</v>
      </c>
      <c r="BC75" s="150">
        <f>IF($C75&gt;0,(IF($BA$7&gt;=$C75+1, (-FV(InflationRate,$BA$7,,$F75)), 0)),0)</f>
        <v>0</v>
      </c>
      <c r="BD75" s="176">
        <f>IF($C75&gt;0,(IF($BA$7&gt;=$C75+1, (-FV(InflationRate,$BA$7,,$G75)), 0)),0)</f>
        <v>0</v>
      </c>
      <c r="BE75" s="168">
        <f>IF($C75&gt;0,(IF($C75=$BE$7,(-FV(InflationRate,$BE$7,,$D75)),0)),0)</f>
        <v>0</v>
      </c>
      <c r="BF75" s="149">
        <f>IF($C75&gt;0,(IF($BE$7&gt;=$C75+1, (-FV(InflationRate,$BE$7,,$E75)), 0)),0)</f>
        <v>0</v>
      </c>
      <c r="BG75" s="149">
        <f>IF($C75&gt;0,(IF($BE$7&gt;=$C75+1, (-FV(InflationRate,$BE$7,,$F75)), 0)),0)</f>
        <v>0</v>
      </c>
      <c r="BH75" s="171">
        <f>IF($C75&gt;0,(IF($BE$7&gt;=$C75+1, (-FV(InflationRate,$BE$7,,$G75)), 0)),0)</f>
        <v>0</v>
      </c>
      <c r="BI75" s="160">
        <f>IF($C75&gt;0,(IF($C75=$BI$7,(-FV(InflationRate,$BI$7,,$D75)),0)),0)</f>
        <v>0</v>
      </c>
      <c r="BJ75" s="150">
        <f>IF($C75&gt;0,(IF($BI$7&gt;=$C75+1, (-FV(InflationRate,$BI$7,,$E75)), 0)),0)</f>
        <v>0</v>
      </c>
      <c r="BK75" s="150">
        <f>IF($C75&gt;0,(IF($BI$7&gt;=$C75+1, (-FV(InflationRate,$BI$7,,$F75)), 0)),0)</f>
        <v>46841.357299469877</v>
      </c>
      <c r="BL75" s="176">
        <f>IF($C75&gt;0,(IF($BI$7&gt;=$C75+1, (-FV(InflationRate,$BI$7,,$G75)), 0)),0)</f>
        <v>0</v>
      </c>
      <c r="BM75" s="168">
        <f>IF($C75&gt;0,(IF($C75=$BM$7,(-FV(InflationRate,$BM$7,,$D75)),0)),0)</f>
        <v>0</v>
      </c>
      <c r="BN75" s="149">
        <f>IF($C75&gt;0,(IF($BM$7&gt;=$C75+1, (-FV(InflationRate,$BM$7,,$E75)), 0)),0)</f>
        <v>0</v>
      </c>
      <c r="BO75" s="149">
        <f>IF($C75&gt;0,(IF($BM$7&gt;=$C75+1, (-FV(InflationRate,$BM$7,,$F75)), 0)),0)</f>
        <v>48246.598018453973</v>
      </c>
      <c r="BP75" s="157">
        <f>IF($C75&gt;0,(IF($BM$7&gt;=$C75+1, (-FV(InflationRate,$BM$7,,$G75)), 0)),0)</f>
        <v>0</v>
      </c>
      <c r="BQ75" s="160">
        <f>IF($C75&gt;0,(IF($C75=$BQ$7,(-FV(InflationRate,$BQ$7,,$D75)),0)),0)</f>
        <v>0</v>
      </c>
      <c r="BR75" s="150">
        <f>IF($C75&gt;0,(IF($BQ$7&gt;=$C75+1, (-FV(InflationRate,$BQ$7,,$E75)), 0)),0)</f>
        <v>0</v>
      </c>
      <c r="BS75" s="150">
        <f>IF($C75&gt;0,(IF($BQ$7&gt;=$C75+1, (-FV(InflationRate,$BQ$7,,$F75)), 0)),0)</f>
        <v>49693.995959007596</v>
      </c>
      <c r="BT75" s="176">
        <f>IF($C75&gt;0,(IF($BQ$7&gt;=$C75+1, (-FV(InflationRate,$BQ$7,,$G75)), 0)),0)</f>
        <v>0</v>
      </c>
      <c r="BU75" s="168">
        <f>IF($C75&gt;0,(IF($C75=$BU$7,(-FV(InflationRate,$BU$7,,$D75)),0)),0)</f>
        <v>0</v>
      </c>
      <c r="BV75" s="149">
        <f>IF($C75&gt;0,(IF($BU$7&gt;=$C75+1, (-FV(InflationRate,$BU$7,,$E75)), 0)),0)</f>
        <v>0</v>
      </c>
      <c r="BW75" s="149">
        <f>IF($C75&gt;0,(IF($BU$7&gt;=$C75+1, (-FV(InflationRate,$BU$7,,$F75)), 0)),0)</f>
        <v>51184.815837777816</v>
      </c>
      <c r="BX75" s="157">
        <f>IF($C75&gt;0,(IF($BU$7&gt;=$C75+1, (-FV(InflationRate,$BU$7,,$G75)), 0)),0)</f>
        <v>0</v>
      </c>
      <c r="BY75" s="160">
        <f>IF($C75&gt;0,(IF($C75=$BY$7,(-FV(InflationRate,$BY$7,,$D75)),0)),0)</f>
        <v>0</v>
      </c>
      <c r="BZ75" s="150">
        <f>IF($C75&gt;0,(IF($BY$7&gt;=$C75+1, (-FV(InflationRate,$BY$7,,$E75)), 0)),0)</f>
        <v>0</v>
      </c>
      <c r="CA75" s="150">
        <f>IF($C75&gt;0,(IF($BY$7&gt;=$C75+1, (-FV(InflationRate,$BY$7,,$F75)), 0)),0)</f>
        <v>52720.360312911143</v>
      </c>
      <c r="CB75" s="176">
        <f>IF($C75&gt;0,(IF($BY$7&gt;=$C75+1, (-FV(InflationRate,$BY$7,,$G75)), 0)),0)</f>
        <v>0</v>
      </c>
      <c r="CC75" s="168">
        <f>IF($C75&gt;0,(IF($C75=$CC$7,(-FV(InflationRate,$CC$7,,$D75)),0)),0)</f>
        <v>0</v>
      </c>
      <c r="CD75" s="149">
        <f>IF($C75&gt;0,(IF($CC$7&gt;=$C75+1, (-FV(InflationRate,$CC$7,,$E75)), 0)),0)</f>
        <v>0</v>
      </c>
      <c r="CE75" s="149">
        <f>IF($C75&gt;0,(IF($CC$7&gt;=$C75+1, (-FV(InflationRate,$CC$7,,$F75)), 0)),0)</f>
        <v>54301.971122298484</v>
      </c>
      <c r="CF75" s="157">
        <f>IF($C75&gt;0,(IF($CC$7&gt;=$C75+1, (-FV(InflationRate,$CC$7,,$G75)), 0)),0)</f>
        <v>0</v>
      </c>
      <c r="CG75" s="160">
        <f>IF($C75&gt;0,(IF($C75=$CG$7,(-FV(InflationRate,$CG$7,,$D75)),0)),0)</f>
        <v>0</v>
      </c>
      <c r="CH75" s="150">
        <f>IF($C75&gt;0,(IF($CG$7&gt;=$C75+1, (-FV(InflationRate,$CG$7,,$E75)), 0)),0)</f>
        <v>0</v>
      </c>
      <c r="CI75" s="150">
        <f>IF($C75&gt;0,(IF($CG$7&gt;=$C75+1, (-FV(InflationRate,$CG$7,,$F75)), 0)),0)</f>
        <v>55931.030255967446</v>
      </c>
      <c r="CJ75" s="176">
        <f>IF($C75&gt;0,(IF($CG$7&gt;=$C75+1, (-FV(InflationRate,$CG$7,,$G75)), 0)),0)</f>
        <v>0</v>
      </c>
      <c r="CK75" s="168">
        <f>IF($C75&gt;0,(IF($C75=$CK$7,(-FV(InflationRate,$CK$7,,$D75)),0)),0)</f>
        <v>0</v>
      </c>
      <c r="CL75" s="149">
        <f>IF($C75&gt;0,(IF($CK$7&gt;=$C75+1, (-FV(InflationRate,$CK$7,,$E75)), 0)),0)</f>
        <v>0</v>
      </c>
      <c r="CM75" s="149">
        <f>IF($C75&gt;0,(IF($CK$7&gt;=$C75+1, (-FV(InflationRate,$CK$7,,$F75)), 0)),0)</f>
        <v>57608.961163646454</v>
      </c>
      <c r="CN75" s="157">
        <f>IF($C75&gt;0,(IF($CK$7&gt;=$C75+1, (-FV(InflationRate,$CK$7,,$G75)), 0)),0)</f>
        <v>0</v>
      </c>
      <c r="CO75" s="160">
        <f>IF($C75&gt;0,(IF($C75=$CO$7,(-FV(InflationRate,$CO$7,,$D75)),0)),0)</f>
        <v>0</v>
      </c>
      <c r="CP75" s="150">
        <f>IF($C75&gt;0,(IF($CO$7&gt;=$C75+1, (-FV(InflationRate,$CO$7,,$E75)), 0)),0)</f>
        <v>0</v>
      </c>
      <c r="CQ75" s="150">
        <f>IF($C75&gt;0,(IF($CO$7&gt;=$C75+1, (-FV(InflationRate,$CO$7,,$F75)), 0)),0)</f>
        <v>59337.229998555849</v>
      </c>
      <c r="CR75" s="176">
        <f>IF($C75&gt;0,(IF($CO$7&gt;=$C75+1, (-FV(InflationRate,$CO$7,,$G75)), 0)),0)</f>
        <v>0</v>
      </c>
      <c r="CS75" s="168">
        <f>IF($C75&gt;0,(IF($C75=$CS$7,(-FV(InflationRate,$CS$7,,$D75)),0)),0)</f>
        <v>0</v>
      </c>
      <c r="CT75" s="149">
        <f>IF($C75&gt;0,(IF($CS$7&gt;=$C75+1, (-FV(InflationRate,$CS$7,,$E75)), 0)),0)</f>
        <v>0</v>
      </c>
      <c r="CU75" s="149">
        <f>IF($C75&gt;0,(IF($CS$7&gt;=$C75+1, (-FV(InflationRate,$CS$7,,$F75)), 0)),0)</f>
        <v>61117.346898512529</v>
      </c>
      <c r="CV75" s="157">
        <f>IF($C75&gt;0,(IF($CS$7&gt;=$C75+1, (-FV(InflationRate,$CS$7,,$G75)), 0)),0)</f>
        <v>0</v>
      </c>
      <c r="CW75" s="160">
        <f>IF($C75&gt;0,(IF($C75=$CW$7,(-FV(InflationRate,$CW$7,,$D75)),0)),0)</f>
        <v>0</v>
      </c>
      <c r="CX75" s="150">
        <f>IF($C75&gt;0,(IF($CW$7&gt;=$C75+1, (-FV(InflationRate,$CW$7,,$E75)), 0)),0)</f>
        <v>0</v>
      </c>
      <c r="CY75" s="150">
        <f>IF($C75&gt;0,(IF($CW$7&gt;=$C75+1, (-FV(InflationRate,$CW$7,,$F75)), 0)),0)</f>
        <v>62950.867305467902</v>
      </c>
      <c r="CZ75" s="176">
        <f>IF($C75&gt;0,(IF($CW$7&gt;=$C75+1, (-FV(InflationRate,$CW$7,,$G75)), 0)),0)</f>
        <v>0</v>
      </c>
      <c r="DA75" s="168">
        <f>IF($C75&gt;0,(IF($C75=$DA$7,(-FV(InflationRate,$DA$7,,$D75)),0)),0)</f>
        <v>0</v>
      </c>
      <c r="DB75" s="149">
        <f>IF($C75&gt;0,(IF($DA$7&gt;=$C75+1, (-FV(InflationRate,$DA$7,,$E75)), 0)),0)</f>
        <v>0</v>
      </c>
      <c r="DC75" s="149">
        <f>IF($C75&gt;0,(IF($DA$7&gt;=$C75+1, (-FV(InflationRate,$DA$7,,$F75)), 0)),0)</f>
        <v>64839.393324631936</v>
      </c>
      <c r="DD75" s="157">
        <f>IF($C75&gt;0,(IF($DA$7&gt;=$C75+1, (-FV(InflationRate,$DA$7,,$G75)), 0)),0)</f>
        <v>0</v>
      </c>
    </row>
    <row r="76" spans="2:108" ht="12.75" customHeight="1" x14ac:dyDescent="0.2">
      <c r="B76" s="182" t="s">
        <v>217</v>
      </c>
      <c r="C76" s="189"/>
      <c r="D76" s="168"/>
      <c r="E76" s="149"/>
      <c r="F76" s="149"/>
      <c r="G76" s="149"/>
      <c r="H76" s="168"/>
      <c r="I76" s="600"/>
      <c r="J76" s="600"/>
      <c r="K76" s="600"/>
      <c r="L76" s="600"/>
      <c r="M76" s="600"/>
      <c r="N76" s="600"/>
      <c r="O76" s="600"/>
      <c r="P76" s="600"/>
      <c r="Q76" s="600"/>
      <c r="R76" s="600"/>
      <c r="S76" s="600"/>
      <c r="T76" s="600"/>
      <c r="U76" s="600"/>
      <c r="V76" s="600"/>
      <c r="W76" s="600"/>
      <c r="X76" s="600"/>
      <c r="Y76" s="600"/>
      <c r="Z76" s="600"/>
      <c r="AA76" s="600"/>
      <c r="AB76" s="601"/>
      <c r="AC76" s="160"/>
      <c r="AD76" s="150"/>
      <c r="AE76" s="150"/>
      <c r="AF76" s="165"/>
      <c r="AG76" s="168"/>
      <c r="AH76" s="149"/>
      <c r="AI76" s="149"/>
      <c r="AJ76" s="171"/>
      <c r="AK76" s="160"/>
      <c r="AL76" s="150"/>
      <c r="AM76" s="150"/>
      <c r="AN76" s="165"/>
      <c r="AO76" s="168"/>
      <c r="AP76" s="149"/>
      <c r="AQ76" s="149"/>
      <c r="AR76" s="157"/>
      <c r="AS76" s="160"/>
      <c r="AT76" s="150"/>
      <c r="AU76" s="150"/>
      <c r="AV76" s="165"/>
      <c r="AW76" s="168"/>
      <c r="AX76" s="149"/>
      <c r="AY76" s="149"/>
      <c r="AZ76" s="157"/>
      <c r="BA76" s="160"/>
      <c r="BB76" s="150"/>
      <c r="BC76" s="150"/>
      <c r="BD76" s="176"/>
      <c r="BE76" s="168"/>
      <c r="BF76" s="149"/>
      <c r="BG76" s="149"/>
      <c r="BH76" s="171"/>
      <c r="BI76" s="160"/>
      <c r="BJ76" s="150"/>
      <c r="BK76" s="150"/>
      <c r="BL76" s="176"/>
      <c r="BM76" s="168"/>
      <c r="BN76" s="149"/>
      <c r="BO76" s="149"/>
      <c r="BP76" s="157"/>
      <c r="BQ76" s="160"/>
      <c r="BR76" s="150"/>
      <c r="BS76" s="150"/>
      <c r="BT76" s="176"/>
      <c r="BU76" s="168"/>
      <c r="BV76" s="149"/>
      <c r="BW76" s="149"/>
      <c r="BX76" s="157"/>
      <c r="BY76" s="160"/>
      <c r="BZ76" s="150"/>
      <c r="CA76" s="150"/>
      <c r="CB76" s="176"/>
      <c r="CC76" s="168"/>
      <c r="CD76" s="149"/>
      <c r="CE76" s="149"/>
      <c r="CF76" s="157"/>
      <c r="CG76" s="160"/>
      <c r="CH76" s="150"/>
      <c r="CI76" s="150"/>
      <c r="CJ76" s="176"/>
      <c r="CK76" s="168"/>
      <c r="CL76" s="149"/>
      <c r="CM76" s="149"/>
      <c r="CN76" s="157"/>
      <c r="CO76" s="160"/>
      <c r="CP76" s="150"/>
      <c r="CQ76" s="150"/>
      <c r="CR76" s="176"/>
      <c r="CS76" s="168"/>
      <c r="CT76" s="149"/>
      <c r="CU76" s="149"/>
      <c r="CV76" s="157"/>
      <c r="CW76" s="160"/>
      <c r="CX76" s="150"/>
      <c r="CY76" s="150"/>
      <c r="CZ76" s="176"/>
      <c r="DA76" s="168"/>
      <c r="DB76" s="149"/>
      <c r="DC76" s="149"/>
      <c r="DD76" s="157"/>
    </row>
    <row r="77" spans="2:108" ht="12.75" customHeight="1" x14ac:dyDescent="0.2">
      <c r="B77" s="183" t="s">
        <v>220</v>
      </c>
      <c r="C77" s="556"/>
      <c r="D77" s="557">
        <v>0</v>
      </c>
      <c r="E77" s="149"/>
      <c r="F77" s="149"/>
      <c r="G77" s="149"/>
      <c r="H77" s="168">
        <f>SUM(I77:AB77)</f>
        <v>0</v>
      </c>
      <c r="I77" s="610">
        <f>-PV(InterestRate,I$8,,(SUM(AC77:AF77)))</f>
        <v>0</v>
      </c>
      <c r="J77" s="610">
        <f>-PV(InterestRate,J$8,,(SUM(AG77:AJ77)))</f>
        <v>0</v>
      </c>
      <c r="K77" s="610">
        <f>-PV(InterestRate,K$8,,(SUM(AK77:AN77)))</f>
        <v>0</v>
      </c>
      <c r="L77" s="610">
        <f>-PV(InterestRate,L$8,,(SUM(AO77:AR77)))</f>
        <v>0</v>
      </c>
      <c r="M77" s="610">
        <f>-PV(InterestRate,M$8,,(SUM(AS77:AV77)))</f>
        <v>0</v>
      </c>
      <c r="N77" s="610">
        <f>-PV(InterestRate,N$8,,(SUM(AW77:AZ77)))</f>
        <v>0</v>
      </c>
      <c r="O77" s="610">
        <f>-PV(InterestRate,O$8,,(SUM(BA77:BD77)))</f>
        <v>0</v>
      </c>
      <c r="P77" s="610">
        <f>-PV(InterestRate,P$8,,(SUM(BE77:BH77)))</f>
        <v>0</v>
      </c>
      <c r="Q77" s="610">
        <f>-PV(InterestRate,Q$8,,(SUM(BI77:BL77)))</f>
        <v>0</v>
      </c>
      <c r="R77" s="610">
        <f>-PV(InterestRate,R$8,,(SUM(BM77:BP77)))</f>
        <v>0</v>
      </c>
      <c r="S77" s="610">
        <f>-PV(InterestRate,S$8,,(SUM(BQ77:BT77)))</f>
        <v>0</v>
      </c>
      <c r="T77" s="610">
        <f>-PV(InterestRate,T$8,,(SUM(BU77:BX77)))</f>
        <v>0</v>
      </c>
      <c r="U77" s="610">
        <f>-PV(InterestRate,U$8,,(SUM(BY77:CB77)))</f>
        <v>0</v>
      </c>
      <c r="V77" s="610">
        <f>-PV(InterestRate,V$8,,(SUM(CC77:CF77)))</f>
        <v>0</v>
      </c>
      <c r="W77" s="610">
        <f>-PV(InterestRate,W$8,,(SUM(CG77:CJ77)))</f>
        <v>0</v>
      </c>
      <c r="X77" s="610">
        <f>-PV(InterestRate,X$8,,(SUM(CK77:CN77)))</f>
        <v>0</v>
      </c>
      <c r="Y77" s="610">
        <f>-PV(InterestRate,Y$8,,(SUM(CO77:CR77)))</f>
        <v>0</v>
      </c>
      <c r="Z77" s="610">
        <f>-PV(InterestRate,Z$8,,(SUM(CS77:CV77)))</f>
        <v>0</v>
      </c>
      <c r="AA77" s="610">
        <f>-PV(InterestRate,AA$8,,(SUM(CW77:CZ77)))</f>
        <v>0</v>
      </c>
      <c r="AB77" s="611">
        <f>-PV(InterestRate,AB$8,,(SUM(DA77:DD77)))</f>
        <v>0</v>
      </c>
      <c r="AC77" s="160">
        <f>IF($C77&gt;0,(IF($C77=$AC$7,$D77,0)),0)</f>
        <v>0</v>
      </c>
      <c r="AD77" s="150">
        <f>IF($C77&gt;0,(IF($AC$7&gt;=$C77+1,$E77,0)),0)</f>
        <v>0</v>
      </c>
      <c r="AE77" s="150">
        <f>IF($C77&gt;0,(IF($C77=$AC$7,$F77,0)),0)</f>
        <v>0</v>
      </c>
      <c r="AF77" s="165">
        <f>IF($C77&gt;0,(IF($AC$7&gt;=$C77+1,$G77,0)),0)</f>
        <v>0</v>
      </c>
      <c r="AG77" s="168">
        <f>IF($C77&gt;0,(IF($C77=$AG$7,(-FV(InflationRate,$AG$7,,$D77)),0)),0)</f>
        <v>0</v>
      </c>
      <c r="AH77" s="149">
        <f>IF($C77&gt;0,(IF($AG$7&gt;=$C77+1, (-FV(InflationRate,$AG$7,,$E77)), 0)),0)</f>
        <v>0</v>
      </c>
      <c r="AI77" s="149">
        <f>IF($C77&gt;0,(IF($AG$7&gt;=$C77+1, (-FV(InflationRate,$AG$7,,$F77)), 0)),0)</f>
        <v>0</v>
      </c>
      <c r="AJ77" s="171">
        <f>IF($C77&gt;0,(IF($AG$7&gt;=$C77+1, (-FV(InflationRate,$AG$7,,$G77)), 0)),0)</f>
        <v>0</v>
      </c>
      <c r="AK77" s="160">
        <f>IF($C77&gt;0,(IF($C77=$AK$7,(-FV(InflationRate,$AK$7,,$D77)),0)),0)</f>
        <v>0</v>
      </c>
      <c r="AL77" s="150">
        <f>IF($C77&gt;0,(IF($AK$7&gt;=$C77+1, (-FV(InflationRate,$AK$7,,$E77)), 0)),0)</f>
        <v>0</v>
      </c>
      <c r="AM77" s="150">
        <f>IF($C77&gt;0,(IF($AK$7&gt;=$C77+1, (-FV(InflationRate,$AK$7,,$F77)), 0)),0)</f>
        <v>0</v>
      </c>
      <c r="AN77" s="165">
        <f>IF($C77&gt;0,(IF($AK$7&gt;=$C77+1, (-FV(InflationRate,$AK$7,,$G77)), 0)),0)</f>
        <v>0</v>
      </c>
      <c r="AO77" s="168">
        <f>IF($C77&gt;0,(IF($C77=$AO$7,(-FV(InflationRate,$AO$7,,$D77)),0)),0)</f>
        <v>0</v>
      </c>
      <c r="AP77" s="149">
        <f>IF($C77&gt;0,(IF($AO$7&gt;=$C77+1, (-FV(InflationRate,$AO$7,,$E77)), 0)),0)</f>
        <v>0</v>
      </c>
      <c r="AQ77" s="149">
        <f>IF($C77&gt;0,(IF($AO$7&gt;=$C77+1, (-FV(InflationRate,$AO$7,,$F77)), 0)),0)</f>
        <v>0</v>
      </c>
      <c r="AR77" s="157">
        <f>IF($C77&gt;0,(IF($AO$7&gt;=$C77+1, (-FV(InflationRate,$AO$7,,$G77)), 0)),0)</f>
        <v>0</v>
      </c>
      <c r="AS77" s="160">
        <f>IF($C77&gt;0,(IF($C77=$AS$7,(-FV(InflationRate,$AS$7,,$D77)),0)),0)</f>
        <v>0</v>
      </c>
      <c r="AT77" s="150">
        <f>IF($C77&gt;0,(IF($AS$7&gt;=$C77+1, (-FV(InflationRate,$AS$7,,$E77)), 0)),0)</f>
        <v>0</v>
      </c>
      <c r="AU77" s="150">
        <f>IF($C77&gt;0,(IF($AS$7&gt;=$C77+1, (-FV(InflationRate,$AS$7,,$F77)), 0)),0)</f>
        <v>0</v>
      </c>
      <c r="AV77" s="165">
        <f>IF($C77&gt;0,(IF($AS$7&gt;=$C77+1, (-FV(InflationRate,$AS$7,,$G77)), 0)),0)</f>
        <v>0</v>
      </c>
      <c r="AW77" s="168">
        <f>IF($C77&gt;0,(IF($C77=$AW$7,(-FV(InflationRate,$AW$7,,$D77)),0)),0)</f>
        <v>0</v>
      </c>
      <c r="AX77" s="149">
        <f>IF($C77&gt;0,(IF($AW$7&gt;=$C77+1, (-FV(InflationRate,$AW$7,,$E77)), 0)),0)</f>
        <v>0</v>
      </c>
      <c r="AY77" s="149">
        <f>IF($C77&gt;0,(IF($AW$7&gt;=$C77+1, (-FV(InflationRate,$AW$7,,$F77)), 0)),0)</f>
        <v>0</v>
      </c>
      <c r="AZ77" s="157">
        <f>IF($C77&gt;0,(IF($AW$7&gt;=$C77+1, (-FV(InflationRate,$AW$7,,$G77)), 0)),0)</f>
        <v>0</v>
      </c>
      <c r="BA77" s="160">
        <f>IF($C77&gt;0,(IF($C77=$BA$7,(-FV(InflationRate,$BA$7,,$D77)),0)),0)</f>
        <v>0</v>
      </c>
      <c r="BB77" s="150">
        <f>IF($C77&gt;0,(IF($BA$7&gt;=$C77+1, (-FV(InflationRate,$BA$7,,$E77)), 0)),0)</f>
        <v>0</v>
      </c>
      <c r="BC77" s="150">
        <f>IF($C77&gt;0,(IF($BA$7&gt;=$C77+1, (-FV(InflationRate,$BA$7,,$F77)), 0)),0)</f>
        <v>0</v>
      </c>
      <c r="BD77" s="176">
        <f>IF($C77&gt;0,(IF($BA$7&gt;=$C77+1, (-FV(InflationRate,$BA$7,,$G77)), 0)),0)</f>
        <v>0</v>
      </c>
      <c r="BE77" s="168">
        <f>IF($C77&gt;0,(IF($C77=$BE$7,(-FV(InflationRate,$BE$7,,$D77)),0)),0)</f>
        <v>0</v>
      </c>
      <c r="BF77" s="149">
        <f>IF($C77&gt;0,(IF($BE$7&gt;=$C77+1, (-FV(InflationRate,$BE$7,,$E77)), 0)),0)</f>
        <v>0</v>
      </c>
      <c r="BG77" s="149">
        <f>IF($C77&gt;0,(IF($BE$7&gt;=$C77+1, (-FV(InflationRate,$BE$7,,$F77)), 0)),0)</f>
        <v>0</v>
      </c>
      <c r="BH77" s="171">
        <f>IF($C77&gt;0,(IF($BE$7&gt;=$C77+1, (-FV(InflationRate,$BE$7,,$G77)), 0)),0)</f>
        <v>0</v>
      </c>
      <c r="BI77" s="160">
        <f>IF($C77&gt;0,(IF($C77=$BI$7,(-FV(InflationRate,$BI$7,,$D77)),0)),0)</f>
        <v>0</v>
      </c>
      <c r="BJ77" s="150">
        <f>IF($C77&gt;0,(IF($BI$7&gt;=$C77+1, (-FV(InflationRate,$BI$7,,$E77)), 0)),0)</f>
        <v>0</v>
      </c>
      <c r="BK77" s="150">
        <f>IF($C77&gt;0,(IF($BI$7&gt;=$C77+1, (-FV(InflationRate,$BI$7,,$F77)), 0)),0)</f>
        <v>0</v>
      </c>
      <c r="BL77" s="176">
        <f>IF($C77&gt;0,(IF($BI$7&gt;=$C77+1, (-FV(InflationRate,$BI$7,,$G77)), 0)),0)</f>
        <v>0</v>
      </c>
      <c r="BM77" s="168">
        <f>IF($C77&gt;0,(IF($C77=$BM$7,(-FV(InflationRate,$BM$7,,$D77)),0)),0)</f>
        <v>0</v>
      </c>
      <c r="BN77" s="149">
        <f>IF($C77&gt;0,(IF($BM$7&gt;=$C77+1, (-FV(InflationRate,$BM$7,,$E77)), 0)),0)</f>
        <v>0</v>
      </c>
      <c r="BO77" s="149">
        <f>IF($C77&gt;0,(IF($BM$7&gt;=$C77+1, (-FV(InflationRate,$BM$7,,$F77)), 0)),0)</f>
        <v>0</v>
      </c>
      <c r="BP77" s="157">
        <f>IF($C77&gt;0,(IF($BM$7&gt;=$C77+1, (-FV(InflationRate,$BM$7,,$G77)), 0)),0)</f>
        <v>0</v>
      </c>
      <c r="BQ77" s="160">
        <f>IF($C77&gt;0,(IF($C77=$BQ$7,(-FV(InflationRate,$BQ$7,,$D77)),0)),0)</f>
        <v>0</v>
      </c>
      <c r="BR77" s="150">
        <f>IF($C77&gt;0,(IF($BQ$7&gt;=$C77+1, (-FV(InflationRate,$BQ$7,,$E77)), 0)),0)</f>
        <v>0</v>
      </c>
      <c r="BS77" s="150">
        <f>IF($C77&gt;0,(IF($BQ$7&gt;=$C77+1, (-FV(InflationRate,$BQ$7,,$F77)), 0)),0)</f>
        <v>0</v>
      </c>
      <c r="BT77" s="176">
        <f>IF($C77&gt;0,(IF($BQ$7&gt;=$C77+1, (-FV(InflationRate,$BQ$7,,$G77)), 0)),0)</f>
        <v>0</v>
      </c>
      <c r="BU77" s="168">
        <f>IF($C77&gt;0,(IF($C77=$BU$7,(-FV(InflationRate,$BU$7,,$D77)),0)),0)</f>
        <v>0</v>
      </c>
      <c r="BV77" s="149">
        <f>IF($C77&gt;0,(IF($BU$7&gt;=$C77+1, (-FV(InflationRate,$BU$7,,$E77)), 0)),0)</f>
        <v>0</v>
      </c>
      <c r="BW77" s="149">
        <f>IF($C77&gt;0,(IF($BU$7&gt;=$C77+1, (-FV(InflationRate,$BU$7,,$F77)), 0)),0)</f>
        <v>0</v>
      </c>
      <c r="BX77" s="157">
        <f>IF($C77&gt;0,(IF($BU$7&gt;=$C77+1, (-FV(InflationRate,$BU$7,,$G77)), 0)),0)</f>
        <v>0</v>
      </c>
      <c r="BY77" s="160">
        <f>IF($C77&gt;0,(IF($C77=$BY$7,(-FV(InflationRate,$BY$7,,$D77)),0)),0)</f>
        <v>0</v>
      </c>
      <c r="BZ77" s="150">
        <f>IF($C77&gt;0,(IF($BY$7&gt;=$C77+1, (-FV(InflationRate,$BY$7,,$E77)), 0)),0)</f>
        <v>0</v>
      </c>
      <c r="CA77" s="150">
        <f>IF($C77&gt;0,(IF($BY$7&gt;=$C77+1, (-FV(InflationRate,$BY$7,,$F77)), 0)),0)</f>
        <v>0</v>
      </c>
      <c r="CB77" s="176">
        <f>IF($C77&gt;0,(IF($BY$7&gt;=$C77+1, (-FV(InflationRate,$BY$7,,$G77)), 0)),0)</f>
        <v>0</v>
      </c>
      <c r="CC77" s="168">
        <f>IF($C77&gt;0,(IF($C77=$CC$7,(-FV(InflationRate,$CC$7,,$D77)),0)),0)</f>
        <v>0</v>
      </c>
      <c r="CD77" s="149">
        <f>IF($C77&gt;0,(IF($CC$7&gt;=$C77+1, (-FV(InflationRate,$CC$7,,$E77)), 0)),0)</f>
        <v>0</v>
      </c>
      <c r="CE77" s="149">
        <f>IF($C77&gt;0,(IF($CC$7&gt;=$C77+1, (-FV(InflationRate,$CC$7,,$F77)), 0)),0)</f>
        <v>0</v>
      </c>
      <c r="CF77" s="157">
        <f>IF($C77&gt;0,(IF($CC$7&gt;=$C77+1, (-FV(InflationRate,$CC$7,,$G77)), 0)),0)</f>
        <v>0</v>
      </c>
      <c r="CG77" s="160">
        <f>IF($C77&gt;0,(IF($C77=$CG$7,(-FV(InflationRate,$CG$7,,$D77)),0)),0)</f>
        <v>0</v>
      </c>
      <c r="CH77" s="150">
        <f>IF($C77&gt;0,(IF($CG$7&gt;=$C77+1, (-FV(InflationRate,$CG$7,,$E77)), 0)),0)</f>
        <v>0</v>
      </c>
      <c r="CI77" s="150">
        <f>IF($C77&gt;0,(IF($CG$7&gt;=$C77+1, (-FV(InflationRate,$CG$7,,$F77)), 0)),0)</f>
        <v>0</v>
      </c>
      <c r="CJ77" s="176">
        <f>IF($C77&gt;0,(IF($CG$7&gt;=$C77+1, (-FV(InflationRate,$CG$7,,$G77)), 0)),0)</f>
        <v>0</v>
      </c>
      <c r="CK77" s="168">
        <f>IF($C77&gt;0,(IF($C77=$CK$7,(-FV(InflationRate,$CK$7,,$D77)),0)),0)</f>
        <v>0</v>
      </c>
      <c r="CL77" s="149">
        <f>IF($C77&gt;0,(IF($CK$7&gt;=$C77+1, (-FV(InflationRate,$CK$7,,$E77)), 0)),0)</f>
        <v>0</v>
      </c>
      <c r="CM77" s="149">
        <f>IF($C77&gt;0,(IF($CK$7&gt;=$C77+1, (-FV(InflationRate,$CK$7,,$F77)), 0)),0)</f>
        <v>0</v>
      </c>
      <c r="CN77" s="157">
        <f>IF($C77&gt;0,(IF($CK$7&gt;=$C77+1, (-FV(InflationRate,$CK$7,,$G77)), 0)),0)</f>
        <v>0</v>
      </c>
      <c r="CO77" s="160">
        <f>IF($C77&gt;0,(IF($C77=$CO$7,(-FV(InflationRate,$CO$7,,$D77)),0)),0)</f>
        <v>0</v>
      </c>
      <c r="CP77" s="150">
        <f>IF($C77&gt;0,(IF($CO$7&gt;=$C77+1, (-FV(InflationRate,$CO$7,,$E77)), 0)),0)</f>
        <v>0</v>
      </c>
      <c r="CQ77" s="150">
        <f>IF($C77&gt;0,(IF($CO$7&gt;=$C77+1, (-FV(InflationRate,$CO$7,,$F77)), 0)),0)</f>
        <v>0</v>
      </c>
      <c r="CR77" s="176">
        <f>IF($C77&gt;0,(IF($CO$7&gt;=$C77+1, (-FV(InflationRate,$CO$7,,$G77)), 0)),0)</f>
        <v>0</v>
      </c>
      <c r="CS77" s="168">
        <f>IF($C77&gt;0,(IF($C77=$CS$7,(-FV(InflationRate,$CS$7,,$D77)),0)),0)</f>
        <v>0</v>
      </c>
      <c r="CT77" s="149">
        <f>IF($C77&gt;0,(IF($CS$7&gt;=$C77+1, (-FV(InflationRate,$CS$7,,$E77)), 0)),0)</f>
        <v>0</v>
      </c>
      <c r="CU77" s="149">
        <f>IF($C77&gt;0,(IF($CS$7&gt;=$C77+1, (-FV(InflationRate,$CS$7,,$F77)), 0)),0)</f>
        <v>0</v>
      </c>
      <c r="CV77" s="157">
        <f>IF($C77&gt;0,(IF($CS$7&gt;=$C77+1, (-FV(InflationRate,$CS$7,,$G77)), 0)),0)</f>
        <v>0</v>
      </c>
      <c r="CW77" s="160">
        <f>IF($C77&gt;0,(IF($C77=$CW$7,(-FV(InflationRate,$CW$7,,$D77)),0)),0)</f>
        <v>0</v>
      </c>
      <c r="CX77" s="150">
        <f>IF($C77&gt;0,(IF($CW$7&gt;=$C77+1, (-FV(InflationRate,$CW$7,,$E77)), 0)),0)</f>
        <v>0</v>
      </c>
      <c r="CY77" s="150">
        <f>IF($C77&gt;0,(IF($CW$7&gt;=$C77+1, (-FV(InflationRate,$CW$7,,$F77)), 0)),0)</f>
        <v>0</v>
      </c>
      <c r="CZ77" s="176">
        <f>IF($C77&gt;0,(IF($CW$7&gt;=$C77+1, (-FV(InflationRate,$CW$7,,$G77)), 0)),0)</f>
        <v>0</v>
      </c>
      <c r="DA77" s="168">
        <f>IF($C77&gt;0,(IF($C77=$DA$7,(-FV(InflationRate,$DA$7,,$D77)),0)),0)</f>
        <v>0</v>
      </c>
      <c r="DB77" s="149">
        <f>IF($C77&gt;0,(IF($DA$7&gt;=$C77+1, (-FV(InflationRate,$DA$7,,$E77)), 0)),0)</f>
        <v>0</v>
      </c>
      <c r="DC77" s="149">
        <f>IF($C77&gt;0,(IF($DA$7&gt;=$C77+1, (-FV(InflationRate,$DA$7,,$F77)), 0)),0)</f>
        <v>0</v>
      </c>
      <c r="DD77" s="157">
        <f>IF($C77&gt;0,(IF($DA$7&gt;=$C77+1, (-FV(InflationRate,$DA$7,,$G77)), 0)),0)</f>
        <v>0</v>
      </c>
    </row>
    <row r="78" spans="2:108" ht="12.75" customHeight="1" x14ac:dyDescent="0.2">
      <c r="B78" s="183" t="s">
        <v>270</v>
      </c>
      <c r="C78" s="556">
        <v>15</v>
      </c>
      <c r="D78" s="557">
        <v>6250000</v>
      </c>
      <c r="E78" s="558">
        <v>55000</v>
      </c>
      <c r="F78" s="149"/>
      <c r="G78" s="558">
        <v>0</v>
      </c>
      <c r="H78" s="168">
        <f>SUM(I78:AB78)</f>
        <v>8146576.1798616732</v>
      </c>
      <c r="I78" s="610">
        <f>-PV(InterestRate,I$8,,(SUM(AC78:AF78)))</f>
        <v>0</v>
      </c>
      <c r="J78" s="610">
        <f>-PV(InterestRate,J$8,,(SUM(AG78:AJ78)))</f>
        <v>0</v>
      </c>
      <c r="K78" s="610">
        <f>-PV(InterestRate,K$8,,(SUM(AK78:AN78)))</f>
        <v>0</v>
      </c>
      <c r="L78" s="610">
        <f>-PV(InterestRate,L$8,,(SUM(AO78:AR78)))</f>
        <v>0</v>
      </c>
      <c r="M78" s="610">
        <f>-PV(InterestRate,M$8,,(SUM(AS78:AV78)))</f>
        <v>0</v>
      </c>
      <c r="N78" s="610">
        <f>-PV(InterestRate,N$8,,(SUM(AW78:AZ78)))</f>
        <v>0</v>
      </c>
      <c r="O78" s="610">
        <f>-PV(InterestRate,O$8,,(SUM(BA78:BD78)))</f>
        <v>0</v>
      </c>
      <c r="P78" s="610">
        <f>-PV(InterestRate,P$8,,(SUM(BE78:BH78)))</f>
        <v>0</v>
      </c>
      <c r="Q78" s="610">
        <f>-PV(InterestRate,Q$8,,(SUM(BI78:BL78)))</f>
        <v>0</v>
      </c>
      <c r="R78" s="610">
        <f>-PV(InterestRate,R$8,,(SUM(BM78:BP78)))</f>
        <v>0</v>
      </c>
      <c r="S78" s="610">
        <f>-PV(InterestRate,S$8,,(SUM(BQ78:BT78)))</f>
        <v>0</v>
      </c>
      <c r="T78" s="610">
        <f>-PV(InterestRate,T$8,,(SUM(BU78:BX78)))</f>
        <v>0</v>
      </c>
      <c r="U78" s="610">
        <f>-PV(InterestRate,U$8,,(SUM(BY78:CB78)))</f>
        <v>0</v>
      </c>
      <c r="V78" s="610">
        <f>-PV(InterestRate,V$8,,(SUM(CC78:CF78)))</f>
        <v>0</v>
      </c>
      <c r="W78" s="610">
        <f>-PV(InterestRate,W$8,,(SUM(CG78:CJ78)))</f>
        <v>7788391.142303586</v>
      </c>
      <c r="X78" s="610">
        <f>-PV(InterestRate,X$8,,(SUM(CK78:CN78)))</f>
        <v>69550.716565359311</v>
      </c>
      <c r="Y78" s="610">
        <f>-PV(InterestRate,Y$8,,(SUM(CO78:CR78)))</f>
        <v>70578.559667310445</v>
      </c>
      <c r="Z78" s="610">
        <f>-PV(InterestRate,Z$8,,(SUM(CS78:CV78)))</f>
        <v>71621.592568797802</v>
      </c>
      <c r="AA78" s="610">
        <f>-PV(InterestRate,AA$8,,(SUM(CW78:CZ78)))</f>
        <v>72680.03974961747</v>
      </c>
      <c r="AB78" s="611">
        <f>-PV(InterestRate,AB$8,,(SUM(DA78:DD78)))</f>
        <v>73754.129007001</v>
      </c>
      <c r="AC78" s="160">
        <f>IF($C78&gt;0,(IF($C78=$AC$7,$D78,0)),0)</f>
        <v>0</v>
      </c>
      <c r="AD78" s="150">
        <f>IF($C78&gt;0,(IF($AC$7&gt;=$C78+1,$E78,0)),0)</f>
        <v>0</v>
      </c>
      <c r="AE78" s="150">
        <f>IF($C78&gt;0,(IF($C78=$AC$7,$F78,0)),0)</f>
        <v>0</v>
      </c>
      <c r="AF78" s="165">
        <f>IF($C78&gt;0,(IF($AC$7&gt;=$C78+1,$G78,0)),0)</f>
        <v>0</v>
      </c>
      <c r="AG78" s="168">
        <f>IF($C78&gt;0,(IF($C78=$AG$7,(-FV(InflationRate,$AG$7,,$D78)),0)),0)</f>
        <v>0</v>
      </c>
      <c r="AH78" s="149">
        <f>IF($C78&gt;0,(IF($AG$7&gt;=$C78+1, (-FV(InflationRate,$AG$7,,$E78)), 0)),0)</f>
        <v>0</v>
      </c>
      <c r="AI78" s="149">
        <f>IF($C78&gt;0,(IF($AG$7&gt;=$C78+1, (-FV(InflationRate,$AG$7,,$F78)), 0)),0)</f>
        <v>0</v>
      </c>
      <c r="AJ78" s="171">
        <f>IF($C78&gt;0,(IF($AG$7&gt;=$C78+1, (-FV(InflationRate,$AG$7,,$G78)), 0)),0)</f>
        <v>0</v>
      </c>
      <c r="AK78" s="160">
        <f>IF($C78&gt;0,(IF($C78=$AK$7,(-FV(InflationRate,$AK$7,,$D78)),0)),0)</f>
        <v>0</v>
      </c>
      <c r="AL78" s="150">
        <f>IF($C78&gt;0,(IF($AK$7&gt;=$C78+1, (-FV(InflationRate,$AK$7,,$E78)), 0)),0)</f>
        <v>0</v>
      </c>
      <c r="AM78" s="150">
        <f>IF($C78&gt;0,(IF($AK$7&gt;=$C78+1, (-FV(InflationRate,$AK$7,,$F78)), 0)),0)</f>
        <v>0</v>
      </c>
      <c r="AN78" s="165">
        <f>IF($C78&gt;0,(IF($AK$7&gt;=$C78+1, (-FV(InflationRate,$AK$7,,$G78)), 0)),0)</f>
        <v>0</v>
      </c>
      <c r="AO78" s="168">
        <f>IF($C78&gt;0,(IF($C78=$AO$7,(-FV(InflationRate,$AO$7,,$D78)),0)),0)</f>
        <v>0</v>
      </c>
      <c r="AP78" s="149">
        <f>IF($C78&gt;0,(IF($AO$7&gt;=$C78+1, (-FV(InflationRate,$AO$7,,$E78)), 0)),0)</f>
        <v>0</v>
      </c>
      <c r="AQ78" s="149">
        <f>IF($C78&gt;0,(IF($AO$7&gt;=$C78+1, (-FV(InflationRate,$AO$7,,$F78)), 0)),0)</f>
        <v>0</v>
      </c>
      <c r="AR78" s="157">
        <f>IF($C78&gt;0,(IF($AO$7&gt;=$C78+1, (-FV(InflationRate,$AO$7,,$G78)), 0)),0)</f>
        <v>0</v>
      </c>
      <c r="AS78" s="160">
        <f>IF($C78&gt;0,(IF($C78=$AS$7,(-FV(InflationRate,$AS$7,,$D78)),0)),0)</f>
        <v>0</v>
      </c>
      <c r="AT78" s="150">
        <f>IF($C78&gt;0,(IF($AS$7&gt;=$C78+1, (-FV(InflationRate,$AS$7,,$E78)), 0)),0)</f>
        <v>0</v>
      </c>
      <c r="AU78" s="150">
        <f>IF($C78&gt;0,(IF($AS$7&gt;=$C78+1, (-FV(InflationRate,$AS$7,,$F78)), 0)),0)</f>
        <v>0</v>
      </c>
      <c r="AV78" s="165">
        <f>IF($C78&gt;0,(IF($AS$7&gt;=$C78+1, (-FV(InflationRate,$AS$7,,$G78)), 0)),0)</f>
        <v>0</v>
      </c>
      <c r="AW78" s="168">
        <f>IF($C78&gt;0,(IF($C78=$AW$7,(-FV(InflationRate,$AW$7,,$D78)),0)),0)</f>
        <v>0</v>
      </c>
      <c r="AX78" s="149">
        <f>IF($C78&gt;0,(IF($AW$7&gt;=$C78+1, (-FV(InflationRate,$AW$7,,$E78)), 0)),0)</f>
        <v>0</v>
      </c>
      <c r="AY78" s="149">
        <f>IF($C78&gt;0,(IF($AW$7&gt;=$C78+1, (-FV(InflationRate,$AW$7,,$F78)), 0)),0)</f>
        <v>0</v>
      </c>
      <c r="AZ78" s="157">
        <f>IF($C78&gt;0,(IF($AW$7&gt;=$C78+1, (-FV(InflationRate,$AW$7,,$G78)), 0)),0)</f>
        <v>0</v>
      </c>
      <c r="BA78" s="160">
        <f>IF($C78&gt;0,(IF($C78=$BA$7,(-FV(InflationRate,$BA$7,,$D78)),0)),0)</f>
        <v>0</v>
      </c>
      <c r="BB78" s="150">
        <f>IF($C78&gt;0,(IF($BA$7&gt;=$C78+1, (-FV(InflationRate,$BA$7,,$E78)), 0)),0)</f>
        <v>0</v>
      </c>
      <c r="BC78" s="150">
        <f>IF($C78&gt;0,(IF($BA$7&gt;=$C78+1, (-FV(InflationRate,$BA$7,,$F78)), 0)),0)</f>
        <v>0</v>
      </c>
      <c r="BD78" s="176">
        <f>IF($C78&gt;0,(IF($BA$7&gt;=$C78+1, (-FV(InflationRate,$BA$7,,$G78)), 0)),0)</f>
        <v>0</v>
      </c>
      <c r="BE78" s="168">
        <f>IF($C78&gt;0,(IF($C78=$BE$7,(-FV(InflationRate,$BE$7,,$D78)),0)),0)</f>
        <v>0</v>
      </c>
      <c r="BF78" s="149">
        <f>IF($C78&gt;0,(IF($BE$7&gt;=$C78+1, (-FV(InflationRate,$BE$7,,$E78)), 0)),0)</f>
        <v>0</v>
      </c>
      <c r="BG78" s="149">
        <f>IF($C78&gt;0,(IF($BE$7&gt;=$C78+1, (-FV(InflationRate,$BE$7,,$F78)), 0)),0)</f>
        <v>0</v>
      </c>
      <c r="BH78" s="171">
        <f>IF($C78&gt;0,(IF($BE$7&gt;=$C78+1, (-FV(InflationRate,$BE$7,,$G78)), 0)),0)</f>
        <v>0</v>
      </c>
      <c r="BI78" s="160">
        <f>IF($C78&gt;0,(IF($C78=$BI$7,(-FV(InflationRate,$BI$7,,$D78)),0)),0)</f>
        <v>0</v>
      </c>
      <c r="BJ78" s="150">
        <f>IF($C78&gt;0,(IF($BI$7&gt;=$C78+1, (-FV(InflationRate,$BI$7,,$E78)), 0)),0)</f>
        <v>0</v>
      </c>
      <c r="BK78" s="150">
        <f>IF($C78&gt;0,(IF($BI$7&gt;=$C78+1, (-FV(InflationRate,$BI$7,,$F78)), 0)),0)</f>
        <v>0</v>
      </c>
      <c r="BL78" s="176">
        <f>IF($C78&gt;0,(IF($BI$7&gt;=$C78+1, (-FV(InflationRate,$BI$7,,$G78)), 0)),0)</f>
        <v>0</v>
      </c>
      <c r="BM78" s="168">
        <f>IF($C78&gt;0,(IF($C78=$BM$7,(-FV(InflationRate,$BM$7,,$D78)),0)),0)</f>
        <v>0</v>
      </c>
      <c r="BN78" s="149">
        <f>IF($C78&gt;0,(IF($BM$7&gt;=$C78+1, (-FV(InflationRate,$BM$7,,$E78)), 0)),0)</f>
        <v>0</v>
      </c>
      <c r="BO78" s="149">
        <f>IF($C78&gt;0,(IF($BM$7&gt;=$C78+1, (-FV(InflationRate,$BM$7,,$F78)), 0)),0)</f>
        <v>0</v>
      </c>
      <c r="BP78" s="157">
        <f>IF($C78&gt;0,(IF($BM$7&gt;=$C78+1, (-FV(InflationRate,$BM$7,,$G78)), 0)),0)</f>
        <v>0</v>
      </c>
      <c r="BQ78" s="160">
        <f>IF($C78&gt;0,(IF($C78=$BQ$7,(-FV(InflationRate,$BQ$7,,$D78)),0)),0)</f>
        <v>0</v>
      </c>
      <c r="BR78" s="150">
        <f>IF($C78&gt;0,(IF($BQ$7&gt;=$C78+1, (-FV(InflationRate,$BQ$7,,$E78)), 0)),0)</f>
        <v>0</v>
      </c>
      <c r="BS78" s="150">
        <f>IF($C78&gt;0,(IF($BQ$7&gt;=$C78+1, (-FV(InflationRate,$BQ$7,,$F78)), 0)),0)</f>
        <v>0</v>
      </c>
      <c r="BT78" s="176">
        <f>IF($C78&gt;0,(IF($BQ$7&gt;=$C78+1, (-FV(InflationRate,$BQ$7,,$G78)), 0)),0)</f>
        <v>0</v>
      </c>
      <c r="BU78" s="168">
        <f>IF($C78&gt;0,(IF($C78=$BU$7,(-FV(InflationRate,$BU$7,,$D78)),0)),0)</f>
        <v>0</v>
      </c>
      <c r="BV78" s="149">
        <f>IF($C78&gt;0,(IF($BU$7&gt;=$C78+1, (-FV(InflationRate,$BU$7,,$E78)), 0)),0)</f>
        <v>0</v>
      </c>
      <c r="BW78" s="149">
        <f>IF($C78&gt;0,(IF($BU$7&gt;=$C78+1, (-FV(InflationRate,$BU$7,,$F78)), 0)),0)</f>
        <v>0</v>
      </c>
      <c r="BX78" s="157">
        <f>IF($C78&gt;0,(IF($BU$7&gt;=$C78+1, (-FV(InflationRate,$BU$7,,$G78)), 0)),0)</f>
        <v>0</v>
      </c>
      <c r="BY78" s="160">
        <f>IF($C78&gt;0,(IF($C78=$BY$7,(-FV(InflationRate,$BY$7,,$D78)),0)),0)</f>
        <v>0</v>
      </c>
      <c r="BZ78" s="150">
        <f>IF($C78&gt;0,(IF($BY$7&gt;=$C78+1, (-FV(InflationRate,$BY$7,,$E78)), 0)),0)</f>
        <v>0</v>
      </c>
      <c r="CA78" s="150">
        <f>IF($C78&gt;0,(IF($BY$7&gt;=$C78+1, (-FV(InflationRate,$BY$7,,$F78)), 0)),0)</f>
        <v>0</v>
      </c>
      <c r="CB78" s="176">
        <f>IF($C78&gt;0,(IF($BY$7&gt;=$C78+1, (-FV(InflationRate,$BY$7,,$G78)), 0)),0)</f>
        <v>0</v>
      </c>
      <c r="CC78" s="168">
        <f>IF($C78&gt;0,(IF($C78=$CC$7,(-FV(InflationRate,$CC$7,,$D78)),0)),0)</f>
        <v>0</v>
      </c>
      <c r="CD78" s="149">
        <f>IF($C78&gt;0,(IF($CC$7&gt;=$C78+1, (-FV(InflationRate,$CC$7,,$E78)), 0)),0)</f>
        <v>0</v>
      </c>
      <c r="CE78" s="149">
        <f>IF($C78&gt;0,(IF($CC$7&gt;=$C78+1, (-FV(InflationRate,$CC$7,,$F78)), 0)),0)</f>
        <v>0</v>
      </c>
      <c r="CF78" s="157">
        <f>IF($C78&gt;0,(IF($CC$7&gt;=$C78+1, (-FV(InflationRate,$CC$7,,$G78)), 0)),0)</f>
        <v>0</v>
      </c>
      <c r="CG78" s="160">
        <f>IF($C78&gt;0,(IF($C78=$CG$7,(-FV(InflationRate,$CG$7,,$D78)),0)),0)</f>
        <v>9737296.3537547775</v>
      </c>
      <c r="CH78" s="150">
        <f>IF($C78&gt;0,(IF($CG$7&gt;=$C78+1, (-FV(InflationRate,$CG$7,,$E78)), 0)),0)</f>
        <v>0</v>
      </c>
      <c r="CI78" s="150">
        <f>IF($C78&gt;0,(IF($CG$7&gt;=$C78+1, (-FV(InflationRate,$CG$7,,$F78)), 0)),0)</f>
        <v>0</v>
      </c>
      <c r="CJ78" s="176">
        <f>IF($C78&gt;0,(IF($CG$7&gt;=$C78+1, (-FV(InflationRate,$CG$7,,$G78)), 0)),0)</f>
        <v>0</v>
      </c>
      <c r="CK78" s="168">
        <f>IF($C78&gt;0,(IF($C78=$CK$7,(-FV(InflationRate,$CK$7,,$D78)),0)),0)</f>
        <v>0</v>
      </c>
      <c r="CL78" s="149">
        <f>IF($C78&gt;0,(IF($CK$7&gt;=$C78+1, (-FV(InflationRate,$CK$7,,$E78)), 0)),0)</f>
        <v>88258.854150433282</v>
      </c>
      <c r="CM78" s="149">
        <f>IF($C78&gt;0,(IF($CK$7&gt;=$C78+1, (-FV(InflationRate,$CK$7,,$F78)), 0)),0)</f>
        <v>0</v>
      </c>
      <c r="CN78" s="157">
        <f>IF($C78&gt;0,(IF($CK$7&gt;=$C78+1, (-FV(InflationRate,$CK$7,,$G78)), 0)),0)</f>
        <v>0</v>
      </c>
      <c r="CO78" s="160">
        <f>IF($C78&gt;0,(IF($C78=$CO$7,(-FV(InflationRate,$CO$7,,$D78)),0)),0)</f>
        <v>0</v>
      </c>
      <c r="CP78" s="150">
        <f>IF($C78&gt;0,(IF($CO$7&gt;=$C78+1, (-FV(InflationRate,$CO$7,,$E78)), 0)),0)</f>
        <v>90906.619774946288</v>
      </c>
      <c r="CQ78" s="150">
        <f>IF($C78&gt;0,(IF($CO$7&gt;=$C78+1, (-FV(InflationRate,$CO$7,,$F78)), 0)),0)</f>
        <v>0</v>
      </c>
      <c r="CR78" s="176">
        <f>IF($C78&gt;0,(IF($CO$7&gt;=$C78+1, (-FV(InflationRate,$CO$7,,$G78)), 0)),0)</f>
        <v>0</v>
      </c>
      <c r="CS78" s="168">
        <f>IF($C78&gt;0,(IF($C78=$CS$7,(-FV(InflationRate,$CS$7,,$D78)),0)),0)</f>
        <v>0</v>
      </c>
      <c r="CT78" s="149">
        <f>IF($C78&gt;0,(IF($CS$7&gt;=$C78+1, (-FV(InflationRate,$CS$7,,$E78)), 0)),0)</f>
        <v>93633.818368194683</v>
      </c>
      <c r="CU78" s="149">
        <f>IF($C78&gt;0,(IF($CS$7&gt;=$C78+1, (-FV(InflationRate,$CS$7,,$F78)), 0)),0)</f>
        <v>0</v>
      </c>
      <c r="CV78" s="157">
        <f>IF($C78&gt;0,(IF($CS$7&gt;=$C78+1, (-FV(InflationRate,$CS$7,,$G78)), 0)),0)</f>
        <v>0</v>
      </c>
      <c r="CW78" s="160">
        <f>IF($C78&gt;0,(IF($C78=$CW$7,(-FV(InflationRate,$CW$7,,$D78)),0)),0)</f>
        <v>0</v>
      </c>
      <c r="CX78" s="150">
        <f>IF($C78&gt;0,(IF($CW$7&gt;=$C78+1, (-FV(InflationRate,$CW$7,,$E78)), 0)),0)</f>
        <v>96442.832919240522</v>
      </c>
      <c r="CY78" s="150">
        <f>IF($C78&gt;0,(IF($CW$7&gt;=$C78+1, (-FV(InflationRate,$CW$7,,$F78)), 0)),0)</f>
        <v>0</v>
      </c>
      <c r="CZ78" s="176">
        <f>IF($C78&gt;0,(IF($CW$7&gt;=$C78+1, (-FV(InflationRate,$CW$7,,$G78)), 0)),0)</f>
        <v>0</v>
      </c>
      <c r="DA78" s="168">
        <f>IF($C78&gt;0,(IF($C78=$DA$7,(-FV(InflationRate,$DA$7,,$D78)),0)),0)</f>
        <v>0</v>
      </c>
      <c r="DB78" s="149">
        <f>IF($C78&gt;0,(IF($DA$7&gt;=$C78+1, (-FV(InflationRate,$DA$7,,$E78)), 0)),0)</f>
        <v>99336.11790681773</v>
      </c>
      <c r="DC78" s="149">
        <f>IF($C78&gt;0,(IF($DA$7&gt;=$C78+1, (-FV(InflationRate,$DA$7,,$F78)), 0)),0)</f>
        <v>0</v>
      </c>
      <c r="DD78" s="157">
        <f>IF($C78&gt;0,(IF($DA$7&gt;=$C78+1, (-FV(InflationRate,$DA$7,,$G78)), 0)),0)</f>
        <v>0</v>
      </c>
    </row>
    <row r="79" spans="2:108" ht="12.75" customHeight="1" x14ac:dyDescent="0.2">
      <c r="B79" s="183" t="s">
        <v>203</v>
      </c>
      <c r="C79" s="556"/>
      <c r="D79" s="168"/>
      <c r="E79" s="149"/>
      <c r="F79" s="558">
        <v>0</v>
      </c>
      <c r="G79" s="149"/>
      <c r="H79" s="168">
        <f>SUM(I79:AB79)</f>
        <v>0</v>
      </c>
      <c r="I79" s="610">
        <f>-PV(InterestRate,I$8,,(SUM(AC79:AF79)))</f>
        <v>0</v>
      </c>
      <c r="J79" s="610">
        <f>-PV(InterestRate,J$8,,(SUM(AG79:AJ79)))</f>
        <v>0</v>
      </c>
      <c r="K79" s="610">
        <f>-PV(InterestRate,K$8,,(SUM(AK79:AN79)))</f>
        <v>0</v>
      </c>
      <c r="L79" s="610">
        <f>-PV(InterestRate,L$8,,(SUM(AO79:AR79)))</f>
        <v>0</v>
      </c>
      <c r="M79" s="610">
        <f>-PV(InterestRate,M$8,,(SUM(AS79:AV79)))</f>
        <v>0</v>
      </c>
      <c r="N79" s="610">
        <f>-PV(InterestRate,N$8,,(SUM(AW79:AZ79)))</f>
        <v>0</v>
      </c>
      <c r="O79" s="610">
        <f>-PV(InterestRate,O$8,,(SUM(BA79:BD79)))</f>
        <v>0</v>
      </c>
      <c r="P79" s="610">
        <f>-PV(InterestRate,P$8,,(SUM(BE79:BH79)))</f>
        <v>0</v>
      </c>
      <c r="Q79" s="610">
        <f>-PV(InterestRate,Q$8,,(SUM(BI79:BL79)))</f>
        <v>0</v>
      </c>
      <c r="R79" s="610">
        <f>-PV(InterestRate,R$8,,(SUM(BM79:BP79)))</f>
        <v>0</v>
      </c>
      <c r="S79" s="610">
        <f>-PV(InterestRate,S$8,,(SUM(BQ79:BT79)))</f>
        <v>0</v>
      </c>
      <c r="T79" s="610">
        <f>-PV(InterestRate,T$8,,(SUM(BU79:BX79)))</f>
        <v>0</v>
      </c>
      <c r="U79" s="610">
        <f>-PV(InterestRate,U$8,,(SUM(BY79:CB79)))</f>
        <v>0</v>
      </c>
      <c r="V79" s="610">
        <f>-PV(InterestRate,V$8,,(SUM(CC79:CF79)))</f>
        <v>0</v>
      </c>
      <c r="W79" s="610">
        <f>-PV(InterestRate,W$8,,(SUM(CG79:CJ79)))</f>
        <v>0</v>
      </c>
      <c r="X79" s="610">
        <f>-PV(InterestRate,X$8,,(SUM(CK79:CN79)))</f>
        <v>0</v>
      </c>
      <c r="Y79" s="610">
        <f>-PV(InterestRate,Y$8,,(SUM(CO79:CR79)))</f>
        <v>0</v>
      </c>
      <c r="Z79" s="610">
        <f>-PV(InterestRate,Z$8,,(SUM(CS79:CV79)))</f>
        <v>0</v>
      </c>
      <c r="AA79" s="610">
        <f>-PV(InterestRate,AA$8,,(SUM(CW79:CZ79)))</f>
        <v>0</v>
      </c>
      <c r="AB79" s="611">
        <f>-PV(InterestRate,AB$8,,(SUM(DA79:DD79)))</f>
        <v>0</v>
      </c>
      <c r="AC79" s="160">
        <f>IF($C79&gt;0,(IF($C79=$AC$7,$D79,0)),0)</f>
        <v>0</v>
      </c>
      <c r="AD79" s="150">
        <f>IF($C79&gt;0,(IF($AC$7&gt;=$C79+1,$E79,0)),0)</f>
        <v>0</v>
      </c>
      <c r="AE79" s="150">
        <f>IF($C79&gt;0,(IF($C79=$AC$7,$F79,0)),0)</f>
        <v>0</v>
      </c>
      <c r="AF79" s="165">
        <f>IF($C79&gt;0,(IF($AC$7&gt;=$C79+1,$G79,0)),0)</f>
        <v>0</v>
      </c>
      <c r="AG79" s="168">
        <f>IF($C79&gt;0,(IF($C79=$AG$7,(-FV(InflationRate,$AG$7,,$D79)),0)),0)</f>
        <v>0</v>
      </c>
      <c r="AH79" s="149">
        <f>IF($C79&gt;0,(IF($AG$7&gt;=$C79+1, (-FV(InflationRate,$AG$7,,$E79)), 0)),0)</f>
        <v>0</v>
      </c>
      <c r="AI79" s="149">
        <f>IF($C79&gt;0,(IF($AG$7&gt;=$C79+1, (-FV(InflationRate,$AG$7,,$F79)), 0)),0)</f>
        <v>0</v>
      </c>
      <c r="AJ79" s="171">
        <f>IF($C79&gt;0,(IF($AG$7&gt;=$C79+1, (-FV(InflationRate,$AG$7,,$G79)), 0)),0)</f>
        <v>0</v>
      </c>
      <c r="AK79" s="160">
        <f>IF($C79&gt;0,(IF($C79=$AK$7,(-FV(InflationRate,$AK$7,,$D79)),0)),0)</f>
        <v>0</v>
      </c>
      <c r="AL79" s="150">
        <f>IF($C79&gt;0,(IF($AK$7&gt;=$C79+1, (-FV(InflationRate,$AK$7,,$E79)), 0)),0)</f>
        <v>0</v>
      </c>
      <c r="AM79" s="150">
        <f>IF($C79&gt;0,(IF($AK$7&gt;=$C79+1, (-FV(InflationRate,$AK$7,,$F79)), 0)),0)</f>
        <v>0</v>
      </c>
      <c r="AN79" s="165">
        <f>IF($C79&gt;0,(IF($AK$7&gt;=$C79+1, (-FV(InflationRate,$AK$7,,$G79)), 0)),0)</f>
        <v>0</v>
      </c>
      <c r="AO79" s="168">
        <f>IF($C79&gt;0,(IF($C79=$AO$7,(-FV(InflationRate,$AO$7,,$D79)),0)),0)</f>
        <v>0</v>
      </c>
      <c r="AP79" s="149">
        <f>IF($C79&gt;0,(IF($AO$7&gt;=$C79+1, (-FV(InflationRate,$AO$7,,$E79)), 0)),0)</f>
        <v>0</v>
      </c>
      <c r="AQ79" s="149">
        <f>IF($C79&gt;0,(IF($AO$7&gt;=$C79+1, (-FV(InflationRate,$AO$7,,$F79)), 0)),0)</f>
        <v>0</v>
      </c>
      <c r="AR79" s="157">
        <f>IF($C79&gt;0,(IF($AO$7&gt;=$C79+1, (-FV(InflationRate,$AO$7,,$G79)), 0)),0)</f>
        <v>0</v>
      </c>
      <c r="AS79" s="160">
        <f>IF($C79&gt;0,(IF($C79=$AS$7,(-FV(InflationRate,$AS$7,,$D79)),0)),0)</f>
        <v>0</v>
      </c>
      <c r="AT79" s="150">
        <f>IF($C79&gt;0,(IF($AS$7&gt;=$C79+1, (-FV(InflationRate,$AS$7,,$E79)), 0)),0)</f>
        <v>0</v>
      </c>
      <c r="AU79" s="150">
        <f>IF($C79&gt;0,(IF($AS$7&gt;=$C79+1, (-FV(InflationRate,$AS$7,,$F79)), 0)),0)</f>
        <v>0</v>
      </c>
      <c r="AV79" s="165">
        <f>IF($C79&gt;0,(IF($AS$7&gt;=$C79+1, (-FV(InflationRate,$AS$7,,$G79)), 0)),0)</f>
        <v>0</v>
      </c>
      <c r="AW79" s="168">
        <f>IF($C79&gt;0,(IF($C79=$AW$7,(-FV(InflationRate,$AW$7,,$D79)),0)),0)</f>
        <v>0</v>
      </c>
      <c r="AX79" s="149">
        <f>IF($C79&gt;0,(IF($AW$7&gt;=$C79+1, (-FV(InflationRate,$AW$7,,$E79)), 0)),0)</f>
        <v>0</v>
      </c>
      <c r="AY79" s="149">
        <f>IF($C79&gt;0,(IF($AW$7&gt;=$C79+1, (-FV(InflationRate,$AW$7,,$F79)), 0)),0)</f>
        <v>0</v>
      </c>
      <c r="AZ79" s="157">
        <f>IF($C79&gt;0,(IF($AW$7&gt;=$C79+1, (-FV(InflationRate,$AW$7,,$G79)), 0)),0)</f>
        <v>0</v>
      </c>
      <c r="BA79" s="160">
        <f>IF($C79&gt;0,(IF($C79=$BA$7,(-FV(InflationRate,$BA$7,,$D79)),0)),0)</f>
        <v>0</v>
      </c>
      <c r="BB79" s="150">
        <f>IF($C79&gt;0,(IF($BA$7&gt;=$C79+1, (-FV(InflationRate,$BA$7,,$E79)), 0)),0)</f>
        <v>0</v>
      </c>
      <c r="BC79" s="150">
        <f>IF($C79&gt;0,(IF($BA$7&gt;=$C79+1, (-FV(InflationRate,$BA$7,,$F79)), 0)),0)</f>
        <v>0</v>
      </c>
      <c r="BD79" s="176">
        <f>IF($C79&gt;0,(IF($BA$7&gt;=$C79+1, (-FV(InflationRate,$BA$7,,$G79)), 0)),0)</f>
        <v>0</v>
      </c>
      <c r="BE79" s="168">
        <f>IF($C79&gt;0,(IF($C79=$BE$7,(-FV(InflationRate,$BE$7,,$D79)),0)),0)</f>
        <v>0</v>
      </c>
      <c r="BF79" s="149">
        <f>IF($C79&gt;0,(IF($BE$7&gt;=$C79+1, (-FV(InflationRate,$BE$7,,$E79)), 0)),0)</f>
        <v>0</v>
      </c>
      <c r="BG79" s="149">
        <f>IF($C79&gt;0,(IF($BE$7&gt;=$C79+1, (-FV(InflationRate,$BE$7,,$F79)), 0)),0)</f>
        <v>0</v>
      </c>
      <c r="BH79" s="171">
        <f>IF($C79&gt;0,(IF($BE$7&gt;=$C79+1, (-FV(InflationRate,$BE$7,,$G79)), 0)),0)</f>
        <v>0</v>
      </c>
      <c r="BI79" s="160">
        <f>IF($C79&gt;0,(IF($C79=$BI$7,(-FV(InflationRate,$BI$7,,$D79)),0)),0)</f>
        <v>0</v>
      </c>
      <c r="BJ79" s="150">
        <f>IF($C79&gt;0,(IF($BI$7&gt;=$C79+1, (-FV(InflationRate,$BI$7,,$E79)), 0)),0)</f>
        <v>0</v>
      </c>
      <c r="BK79" s="150">
        <f>IF($C79&gt;0,(IF($BI$7&gt;=$C79+1, (-FV(InflationRate,$BI$7,,$F79)), 0)),0)</f>
        <v>0</v>
      </c>
      <c r="BL79" s="176">
        <f>IF($C79&gt;0,(IF($BI$7&gt;=$C79+1, (-FV(InflationRate,$BI$7,,$G79)), 0)),0)</f>
        <v>0</v>
      </c>
      <c r="BM79" s="168">
        <f>IF($C79&gt;0,(IF($C79=$BM$7,(-FV(InflationRate,$BM$7,,$D79)),0)),0)</f>
        <v>0</v>
      </c>
      <c r="BN79" s="149">
        <f>IF($C79&gt;0,(IF($BM$7&gt;=$C79+1, (-FV(InflationRate,$BM$7,,$E79)), 0)),0)</f>
        <v>0</v>
      </c>
      <c r="BO79" s="149">
        <f>IF($C79&gt;0,(IF($BM$7&gt;=$C79+1, (-FV(InflationRate,$BM$7,,$F79)), 0)),0)</f>
        <v>0</v>
      </c>
      <c r="BP79" s="157">
        <f>IF($C79&gt;0,(IF($BM$7&gt;=$C79+1, (-FV(InflationRate,$BM$7,,$G79)), 0)),0)</f>
        <v>0</v>
      </c>
      <c r="BQ79" s="160">
        <f>IF($C79&gt;0,(IF($C79=$BQ$7,(-FV(InflationRate,$BQ$7,,$D79)),0)),0)</f>
        <v>0</v>
      </c>
      <c r="BR79" s="150">
        <f>IF($C79&gt;0,(IF($BQ$7&gt;=$C79+1, (-FV(InflationRate,$BQ$7,,$E79)), 0)),0)</f>
        <v>0</v>
      </c>
      <c r="BS79" s="150">
        <f>IF($C79&gt;0,(IF($BQ$7&gt;=$C79+1, (-FV(InflationRate,$BQ$7,,$F79)), 0)),0)</f>
        <v>0</v>
      </c>
      <c r="BT79" s="176">
        <f>IF($C79&gt;0,(IF($BQ$7&gt;=$C79+1, (-FV(InflationRate,$BQ$7,,$G79)), 0)),0)</f>
        <v>0</v>
      </c>
      <c r="BU79" s="168">
        <f>IF($C79&gt;0,(IF($C79=$BU$7,(-FV(InflationRate,$BU$7,,$D79)),0)),0)</f>
        <v>0</v>
      </c>
      <c r="BV79" s="149">
        <f>IF($C79&gt;0,(IF($BU$7&gt;=$C79+1, (-FV(InflationRate,$BU$7,,$E79)), 0)),0)</f>
        <v>0</v>
      </c>
      <c r="BW79" s="149">
        <f>IF($C79&gt;0,(IF($BU$7&gt;=$C79+1, (-FV(InflationRate,$BU$7,,$F79)), 0)),0)</f>
        <v>0</v>
      </c>
      <c r="BX79" s="157">
        <f>IF($C79&gt;0,(IF($BU$7&gt;=$C79+1, (-FV(InflationRate,$BU$7,,$G79)), 0)),0)</f>
        <v>0</v>
      </c>
      <c r="BY79" s="160">
        <f>IF($C79&gt;0,(IF($C79=$BY$7,(-FV(InflationRate,$BY$7,,$D79)),0)),0)</f>
        <v>0</v>
      </c>
      <c r="BZ79" s="150">
        <f>IF($C79&gt;0,(IF($BY$7&gt;=$C79+1, (-FV(InflationRate,$BY$7,,$E79)), 0)),0)</f>
        <v>0</v>
      </c>
      <c r="CA79" s="150">
        <f>IF($C79&gt;0,(IF($BY$7&gt;=$C79+1, (-FV(InflationRate,$BY$7,,$F79)), 0)),0)</f>
        <v>0</v>
      </c>
      <c r="CB79" s="176">
        <f>IF($C79&gt;0,(IF($BY$7&gt;=$C79+1, (-FV(InflationRate,$BY$7,,$G79)), 0)),0)</f>
        <v>0</v>
      </c>
      <c r="CC79" s="168">
        <f>IF($C79&gt;0,(IF($C79=$CC$7,(-FV(InflationRate,$CC$7,,$D79)),0)),0)</f>
        <v>0</v>
      </c>
      <c r="CD79" s="149">
        <f>IF($C79&gt;0,(IF($CC$7&gt;=$C79+1, (-FV(InflationRate,$CC$7,,$E79)), 0)),0)</f>
        <v>0</v>
      </c>
      <c r="CE79" s="149">
        <f>IF($C79&gt;0,(IF($CC$7&gt;=$C79+1, (-FV(InflationRate,$CC$7,,$F79)), 0)),0)</f>
        <v>0</v>
      </c>
      <c r="CF79" s="157">
        <f>IF($C79&gt;0,(IF($CC$7&gt;=$C79+1, (-FV(InflationRate,$CC$7,,$G79)), 0)),0)</f>
        <v>0</v>
      </c>
      <c r="CG79" s="160">
        <f>IF($C79&gt;0,(IF($C79=$CG$7,(-FV(InflationRate,$CG$7,,$D79)),0)),0)</f>
        <v>0</v>
      </c>
      <c r="CH79" s="150">
        <f>IF($C79&gt;0,(IF($CG$7&gt;=$C79+1, (-FV(InflationRate,$CG$7,,$E79)), 0)),0)</f>
        <v>0</v>
      </c>
      <c r="CI79" s="150">
        <f>IF($C79&gt;0,(IF($CG$7&gt;=$C79+1, (-FV(InflationRate,$CG$7,,$F79)), 0)),0)</f>
        <v>0</v>
      </c>
      <c r="CJ79" s="176">
        <f>IF($C79&gt;0,(IF($CG$7&gt;=$C79+1, (-FV(InflationRate,$CG$7,,$G79)), 0)),0)</f>
        <v>0</v>
      </c>
      <c r="CK79" s="168">
        <f>IF($C79&gt;0,(IF($C79=$CK$7,(-FV(InflationRate,$CK$7,,$D79)),0)),0)</f>
        <v>0</v>
      </c>
      <c r="CL79" s="149">
        <f>IF($C79&gt;0,(IF($CK$7&gt;=$C79+1, (-FV(InflationRate,$CK$7,,$E79)), 0)),0)</f>
        <v>0</v>
      </c>
      <c r="CM79" s="149">
        <f>IF($C79&gt;0,(IF($CK$7&gt;=$C79+1, (-FV(InflationRate,$CK$7,,$F79)), 0)),0)</f>
        <v>0</v>
      </c>
      <c r="CN79" s="157">
        <f>IF($C79&gt;0,(IF($CK$7&gt;=$C79+1, (-FV(InflationRate,$CK$7,,$G79)), 0)),0)</f>
        <v>0</v>
      </c>
      <c r="CO79" s="160">
        <f>IF($C79&gt;0,(IF($C79=$CO$7,(-FV(InflationRate,$CO$7,,$D79)),0)),0)</f>
        <v>0</v>
      </c>
      <c r="CP79" s="150">
        <f>IF($C79&gt;0,(IF($CO$7&gt;=$C79+1, (-FV(InflationRate,$CO$7,,$E79)), 0)),0)</f>
        <v>0</v>
      </c>
      <c r="CQ79" s="150">
        <f>IF($C79&gt;0,(IF($CO$7&gt;=$C79+1, (-FV(InflationRate,$CO$7,,$F79)), 0)),0)</f>
        <v>0</v>
      </c>
      <c r="CR79" s="176">
        <f>IF($C79&gt;0,(IF($CO$7&gt;=$C79+1, (-FV(InflationRate,$CO$7,,$G79)), 0)),0)</f>
        <v>0</v>
      </c>
      <c r="CS79" s="168">
        <f>IF($C79&gt;0,(IF($C79=$CS$7,(-FV(InflationRate,$CS$7,,$D79)),0)),0)</f>
        <v>0</v>
      </c>
      <c r="CT79" s="149">
        <f>IF($C79&gt;0,(IF($CS$7&gt;=$C79+1, (-FV(InflationRate,$CS$7,,$E79)), 0)),0)</f>
        <v>0</v>
      </c>
      <c r="CU79" s="149">
        <f>IF($C79&gt;0,(IF($CS$7&gt;=$C79+1, (-FV(InflationRate,$CS$7,,$F79)), 0)),0)</f>
        <v>0</v>
      </c>
      <c r="CV79" s="157">
        <f>IF($C79&gt;0,(IF($CS$7&gt;=$C79+1, (-FV(InflationRate,$CS$7,,$G79)), 0)),0)</f>
        <v>0</v>
      </c>
      <c r="CW79" s="160">
        <f>IF($C79&gt;0,(IF($C79=$CW$7,(-FV(InflationRate,$CW$7,,$D79)),0)),0)</f>
        <v>0</v>
      </c>
      <c r="CX79" s="150">
        <f>IF($C79&gt;0,(IF($CW$7&gt;=$C79+1, (-FV(InflationRate,$CW$7,,$E79)), 0)),0)</f>
        <v>0</v>
      </c>
      <c r="CY79" s="150">
        <f>IF($C79&gt;0,(IF($CW$7&gt;=$C79+1, (-FV(InflationRate,$CW$7,,$F79)), 0)),0)</f>
        <v>0</v>
      </c>
      <c r="CZ79" s="176">
        <f>IF($C79&gt;0,(IF($CW$7&gt;=$C79+1, (-FV(InflationRate,$CW$7,,$G79)), 0)),0)</f>
        <v>0</v>
      </c>
      <c r="DA79" s="168">
        <f>IF($C79&gt;0,(IF($C79=$DA$7,(-FV(InflationRate,$DA$7,,$D79)),0)),0)</f>
        <v>0</v>
      </c>
      <c r="DB79" s="149">
        <f>IF($C79&gt;0,(IF($DA$7&gt;=$C79+1, (-FV(InflationRate,$DA$7,,$E79)), 0)),0)</f>
        <v>0</v>
      </c>
      <c r="DC79" s="149">
        <f>IF($C79&gt;0,(IF($DA$7&gt;=$C79+1, (-FV(InflationRate,$DA$7,,$F79)), 0)),0)</f>
        <v>0</v>
      </c>
      <c r="DD79" s="157">
        <f>IF($C79&gt;0,(IF($DA$7&gt;=$C79+1, (-FV(InflationRate,$DA$7,,$G79)), 0)),0)</f>
        <v>0</v>
      </c>
    </row>
    <row r="80" spans="2:108" ht="12.75" hidden="1" customHeight="1" x14ac:dyDescent="0.2">
      <c r="B80" s="182" t="s">
        <v>221</v>
      </c>
      <c r="C80" s="189"/>
      <c r="D80" s="168"/>
      <c r="E80" s="149"/>
      <c r="F80" s="149"/>
      <c r="G80" s="149"/>
      <c r="H80" s="168"/>
      <c r="I80" s="600"/>
      <c r="J80" s="600"/>
      <c r="K80" s="600"/>
      <c r="L80" s="600"/>
      <c r="M80" s="600"/>
      <c r="N80" s="600"/>
      <c r="O80" s="600"/>
      <c r="P80" s="600"/>
      <c r="Q80" s="600"/>
      <c r="R80" s="600"/>
      <c r="S80" s="600"/>
      <c r="T80" s="600"/>
      <c r="U80" s="600"/>
      <c r="V80" s="600"/>
      <c r="W80" s="600"/>
      <c r="X80" s="600"/>
      <c r="Y80" s="600"/>
      <c r="Z80" s="600"/>
      <c r="AA80" s="600"/>
      <c r="AB80" s="601"/>
      <c r="AC80" s="160"/>
      <c r="AD80" s="150"/>
      <c r="AE80" s="150"/>
      <c r="AF80" s="165"/>
      <c r="AG80" s="168"/>
      <c r="AH80" s="149"/>
      <c r="AI80" s="149"/>
      <c r="AJ80" s="171"/>
      <c r="AK80" s="160"/>
      <c r="AL80" s="150"/>
      <c r="AM80" s="150"/>
      <c r="AN80" s="165"/>
      <c r="AO80" s="168"/>
      <c r="AP80" s="149"/>
      <c r="AQ80" s="149"/>
      <c r="AR80" s="157"/>
      <c r="AS80" s="160"/>
      <c r="AT80" s="150"/>
      <c r="AU80" s="150"/>
      <c r="AV80" s="165"/>
      <c r="AW80" s="168"/>
      <c r="AX80" s="149"/>
      <c r="AY80" s="149"/>
      <c r="AZ80" s="157"/>
      <c r="BA80" s="160"/>
      <c r="BB80" s="150"/>
      <c r="BC80" s="150"/>
      <c r="BD80" s="176"/>
      <c r="BE80" s="168"/>
      <c r="BF80" s="149"/>
      <c r="BG80" s="149"/>
      <c r="BH80" s="171"/>
      <c r="BI80" s="160"/>
      <c r="BJ80" s="150"/>
      <c r="BK80" s="150"/>
      <c r="BL80" s="176"/>
      <c r="BM80" s="168"/>
      <c r="BN80" s="149"/>
      <c r="BO80" s="149"/>
      <c r="BP80" s="157"/>
      <c r="BQ80" s="160"/>
      <c r="BR80" s="150"/>
      <c r="BS80" s="150"/>
      <c r="BT80" s="176"/>
      <c r="BU80" s="168"/>
      <c r="BV80" s="149"/>
      <c r="BW80" s="149"/>
      <c r="BX80" s="157"/>
      <c r="BY80" s="160"/>
      <c r="BZ80" s="150"/>
      <c r="CA80" s="150"/>
      <c r="CB80" s="176"/>
      <c r="CC80" s="168"/>
      <c r="CD80" s="149"/>
      <c r="CE80" s="149"/>
      <c r="CF80" s="157"/>
      <c r="CG80" s="160"/>
      <c r="CH80" s="150"/>
      <c r="CI80" s="150"/>
      <c r="CJ80" s="176"/>
      <c r="CK80" s="168"/>
      <c r="CL80" s="149"/>
      <c r="CM80" s="149"/>
      <c r="CN80" s="157"/>
      <c r="CO80" s="160"/>
      <c r="CP80" s="150"/>
      <c r="CQ80" s="150"/>
      <c r="CR80" s="176"/>
      <c r="CS80" s="168"/>
      <c r="CT80" s="149"/>
      <c r="CU80" s="149"/>
      <c r="CV80" s="157"/>
      <c r="CW80" s="160"/>
      <c r="CX80" s="150"/>
      <c r="CY80" s="150"/>
      <c r="CZ80" s="176"/>
      <c r="DA80" s="168"/>
      <c r="DB80" s="149"/>
      <c r="DC80" s="149"/>
      <c r="DD80" s="157"/>
    </row>
    <row r="81" spans="2:108" ht="12.75" hidden="1" customHeight="1" x14ac:dyDescent="0.2">
      <c r="B81" s="183" t="s">
        <v>220</v>
      </c>
      <c r="C81" s="556"/>
      <c r="D81" s="557">
        <v>0</v>
      </c>
      <c r="E81" s="149"/>
      <c r="F81" s="149"/>
      <c r="G81" s="149"/>
      <c r="H81" s="168">
        <f>SUM(I81:AB81)</f>
        <v>0</v>
      </c>
      <c r="I81" s="610">
        <f>-PV(InterestRate,I$8,,(SUM(AC81:AF81)))</f>
        <v>0</v>
      </c>
      <c r="J81" s="610">
        <f>-PV(InterestRate,J$8,,(SUM(AG81:AJ81)))</f>
        <v>0</v>
      </c>
      <c r="K81" s="610">
        <f>-PV(InterestRate,K$8,,(SUM(AK81:AN81)))</f>
        <v>0</v>
      </c>
      <c r="L81" s="610">
        <f>-PV(InterestRate,L$8,,(SUM(AO81:AR81)))</f>
        <v>0</v>
      </c>
      <c r="M81" s="610">
        <f>-PV(InterestRate,M$8,,(SUM(AS81:AV81)))</f>
        <v>0</v>
      </c>
      <c r="N81" s="610">
        <f>-PV(InterestRate,N$8,,(SUM(AW81:AZ81)))</f>
        <v>0</v>
      </c>
      <c r="O81" s="610">
        <f>-PV(InterestRate,O$8,,(SUM(BA81:BD81)))</f>
        <v>0</v>
      </c>
      <c r="P81" s="610">
        <f>-PV(InterestRate,P$8,,(SUM(BE81:BH81)))</f>
        <v>0</v>
      </c>
      <c r="Q81" s="610">
        <f>-PV(InterestRate,Q$8,,(SUM(BI81:BL81)))</f>
        <v>0</v>
      </c>
      <c r="R81" s="610">
        <f>-PV(InterestRate,R$8,,(SUM(BM81:BP81)))</f>
        <v>0</v>
      </c>
      <c r="S81" s="610">
        <f>-PV(InterestRate,S$8,,(SUM(BQ81:BT81)))</f>
        <v>0</v>
      </c>
      <c r="T81" s="610">
        <f>-PV(InterestRate,T$8,,(SUM(BU81:BX81)))</f>
        <v>0</v>
      </c>
      <c r="U81" s="610">
        <f>-PV(InterestRate,U$8,,(SUM(BY81:CB81)))</f>
        <v>0</v>
      </c>
      <c r="V81" s="610">
        <f>-PV(InterestRate,V$8,,(SUM(CC81:CF81)))</f>
        <v>0</v>
      </c>
      <c r="W81" s="610">
        <f>-PV(InterestRate,W$8,,(SUM(CG81:CJ81)))</f>
        <v>0</v>
      </c>
      <c r="X81" s="610">
        <f>-PV(InterestRate,X$8,,(SUM(CK81:CN81)))</f>
        <v>0</v>
      </c>
      <c r="Y81" s="610">
        <f>-PV(InterestRate,Y$8,,(SUM(CO81:CR81)))</f>
        <v>0</v>
      </c>
      <c r="Z81" s="610">
        <f>-PV(InterestRate,Z$8,,(SUM(CS81:CV81)))</f>
        <v>0</v>
      </c>
      <c r="AA81" s="610">
        <f>-PV(InterestRate,AA$8,,(SUM(CW81:CZ81)))</f>
        <v>0</v>
      </c>
      <c r="AB81" s="611">
        <f>-PV(InterestRate,AB$8,,(SUM(DA81:DD81)))</f>
        <v>0</v>
      </c>
      <c r="AC81" s="160">
        <f>IF($C81&gt;0,(IF($C81=$AC$7,$D81,0)),0)</f>
        <v>0</v>
      </c>
      <c r="AD81" s="150">
        <f>IF($C81&gt;0,(IF($AC$7&gt;=$C81+1,$E81,0)),0)</f>
        <v>0</v>
      </c>
      <c r="AE81" s="150">
        <f>IF($C81&gt;0,(IF($C81=$AC$7,$F81,0)),0)</f>
        <v>0</v>
      </c>
      <c r="AF81" s="165">
        <f>IF($C81&gt;0,(IF($AC$7&gt;=$C81+1,$G81,0)),0)</f>
        <v>0</v>
      </c>
      <c r="AG81" s="168">
        <f>IF($C81&gt;0,(IF($C81=$AG$7,(-FV(InflationRate,$AG$7,,$D81)),0)),0)</f>
        <v>0</v>
      </c>
      <c r="AH81" s="149">
        <f>IF($C81&gt;0,(IF($AG$7&gt;=$C81+1, (-FV(InflationRate,$AG$7,,$E81)), 0)),0)</f>
        <v>0</v>
      </c>
      <c r="AI81" s="149">
        <f>IF($C81&gt;0,(IF($AG$7&gt;=$C81+1, (-FV(InflationRate,$AG$7,,$F81)), 0)),0)</f>
        <v>0</v>
      </c>
      <c r="AJ81" s="171">
        <f>IF($C81&gt;0,(IF($AG$7&gt;=$C81+1, (-FV(InflationRate,$AG$7,,$G81)), 0)),0)</f>
        <v>0</v>
      </c>
      <c r="AK81" s="160">
        <f>IF($C81&gt;0,(IF($C81=$AK$7,(-FV(InflationRate,$AK$7,,$D81)),0)),0)</f>
        <v>0</v>
      </c>
      <c r="AL81" s="150">
        <f>IF($C81&gt;0,(IF($AK$7&gt;=$C81+1, (-FV(InflationRate,$AK$7,,$E81)), 0)),0)</f>
        <v>0</v>
      </c>
      <c r="AM81" s="150">
        <f>IF($C81&gt;0,(IF($AK$7&gt;=$C81+1, (-FV(InflationRate,$AK$7,,$F81)), 0)),0)</f>
        <v>0</v>
      </c>
      <c r="AN81" s="165">
        <f>IF($C81&gt;0,(IF($AK$7&gt;=$C81+1, (-FV(InflationRate,$AK$7,,$G81)), 0)),0)</f>
        <v>0</v>
      </c>
      <c r="AO81" s="168">
        <f>IF($C81&gt;0,(IF($C81=$AO$7,(-FV(InflationRate,$AO$7,,$D81)),0)),0)</f>
        <v>0</v>
      </c>
      <c r="AP81" s="149">
        <f>IF($C81&gt;0,(IF($AO$7&gt;=$C81+1, (-FV(InflationRate,$AO$7,,$E81)), 0)),0)</f>
        <v>0</v>
      </c>
      <c r="AQ81" s="149">
        <f>IF($C81&gt;0,(IF($AO$7&gt;=$C81+1, (-FV(InflationRate,$AO$7,,$F81)), 0)),0)</f>
        <v>0</v>
      </c>
      <c r="AR81" s="157">
        <f>IF($C81&gt;0,(IF($AO$7&gt;=$C81+1, (-FV(InflationRate,$AO$7,,$G81)), 0)),0)</f>
        <v>0</v>
      </c>
      <c r="AS81" s="160">
        <f>IF($C81&gt;0,(IF($C81=$AS$7,(-FV(InflationRate,$AS$7,,$D81)),0)),0)</f>
        <v>0</v>
      </c>
      <c r="AT81" s="150">
        <f>IF($C81&gt;0,(IF($AS$7&gt;=$C81+1, (-FV(InflationRate,$AS$7,,$E81)), 0)),0)</f>
        <v>0</v>
      </c>
      <c r="AU81" s="150">
        <f>IF($C81&gt;0,(IF($AS$7&gt;=$C81+1, (-FV(InflationRate,$AS$7,,$F81)), 0)),0)</f>
        <v>0</v>
      </c>
      <c r="AV81" s="165">
        <f>IF($C81&gt;0,(IF($AS$7&gt;=$C81+1, (-FV(InflationRate,$AS$7,,$G81)), 0)),0)</f>
        <v>0</v>
      </c>
      <c r="AW81" s="168">
        <f>IF($C81&gt;0,(IF($C81=$AW$7,(-FV(InflationRate,$AW$7,,$D81)),0)),0)</f>
        <v>0</v>
      </c>
      <c r="AX81" s="149">
        <f>IF($C81&gt;0,(IF($AW$7&gt;=$C81+1, (-FV(InflationRate,$AW$7,,$E81)), 0)),0)</f>
        <v>0</v>
      </c>
      <c r="AY81" s="149">
        <f>IF($C81&gt;0,(IF($AW$7&gt;=$C81+1, (-FV(InflationRate,$AW$7,,$F81)), 0)),0)</f>
        <v>0</v>
      </c>
      <c r="AZ81" s="157">
        <f>IF($C81&gt;0,(IF($AW$7&gt;=$C81+1, (-FV(InflationRate,$AW$7,,$G81)), 0)),0)</f>
        <v>0</v>
      </c>
      <c r="BA81" s="160">
        <f>IF($C81&gt;0,(IF($C81=$BA$7,(-FV(InflationRate,$BA$7,,$D81)),0)),0)</f>
        <v>0</v>
      </c>
      <c r="BB81" s="150">
        <f>IF($C81&gt;0,(IF($BA$7&gt;=$C81+1, (-FV(InflationRate,$BA$7,,$E81)), 0)),0)</f>
        <v>0</v>
      </c>
      <c r="BC81" s="150">
        <f>IF($C81&gt;0,(IF($BA$7&gt;=$C81+1, (-FV(InflationRate,$BA$7,,$F81)), 0)),0)</f>
        <v>0</v>
      </c>
      <c r="BD81" s="176">
        <f>IF($C81&gt;0,(IF($BA$7&gt;=$C81+1, (-FV(InflationRate,$BA$7,,$G81)), 0)),0)</f>
        <v>0</v>
      </c>
      <c r="BE81" s="168">
        <f>IF($C81&gt;0,(IF($C81=$BE$7,(-FV(InflationRate,$BE$7,,$D81)),0)),0)</f>
        <v>0</v>
      </c>
      <c r="BF81" s="149">
        <f>IF($C81&gt;0,(IF($BE$7&gt;=$C81+1, (-FV(InflationRate,$BE$7,,$E81)), 0)),0)</f>
        <v>0</v>
      </c>
      <c r="BG81" s="149">
        <f>IF($C81&gt;0,(IF($BE$7&gt;=$C81+1, (-FV(InflationRate,$BE$7,,$F81)), 0)),0)</f>
        <v>0</v>
      </c>
      <c r="BH81" s="171">
        <f>IF($C81&gt;0,(IF($BE$7&gt;=$C81+1, (-FV(InflationRate,$BE$7,,$G81)), 0)),0)</f>
        <v>0</v>
      </c>
      <c r="BI81" s="160">
        <f>IF($C81&gt;0,(IF($C81=$BI$7,(-FV(InflationRate,$BI$7,,$D81)),0)),0)</f>
        <v>0</v>
      </c>
      <c r="BJ81" s="150">
        <f>IF($C81&gt;0,(IF($BI$7&gt;=$C81+1, (-FV(InflationRate,$BI$7,,$E81)), 0)),0)</f>
        <v>0</v>
      </c>
      <c r="BK81" s="150">
        <f>IF($C81&gt;0,(IF($BI$7&gt;=$C81+1, (-FV(InflationRate,$BI$7,,$F81)), 0)),0)</f>
        <v>0</v>
      </c>
      <c r="BL81" s="176">
        <f>IF($C81&gt;0,(IF($BI$7&gt;=$C81+1, (-FV(InflationRate,$BI$7,,$G81)), 0)),0)</f>
        <v>0</v>
      </c>
      <c r="BM81" s="168">
        <f>IF($C81&gt;0,(IF($C81=$BM$7,(-FV(InflationRate,$BM$7,,$D81)),0)),0)</f>
        <v>0</v>
      </c>
      <c r="BN81" s="149">
        <f>IF($C81&gt;0,(IF($BM$7&gt;=$C81+1, (-FV(InflationRate,$BM$7,,$E81)), 0)),0)</f>
        <v>0</v>
      </c>
      <c r="BO81" s="149">
        <f>IF($C81&gt;0,(IF($BM$7&gt;=$C81+1, (-FV(InflationRate,$BM$7,,$F81)), 0)),0)</f>
        <v>0</v>
      </c>
      <c r="BP81" s="157">
        <f>IF($C81&gt;0,(IF($BM$7&gt;=$C81+1, (-FV(InflationRate,$BM$7,,$G81)), 0)),0)</f>
        <v>0</v>
      </c>
      <c r="BQ81" s="160">
        <f>IF($C81&gt;0,(IF($C81=$BQ$7,(-FV(InflationRate,$BQ$7,,$D81)),0)),0)</f>
        <v>0</v>
      </c>
      <c r="BR81" s="150">
        <f>IF($C81&gt;0,(IF($BQ$7&gt;=$C81+1, (-FV(InflationRate,$BQ$7,,$E81)), 0)),0)</f>
        <v>0</v>
      </c>
      <c r="BS81" s="150">
        <f>IF($C81&gt;0,(IF($BQ$7&gt;=$C81+1, (-FV(InflationRate,$BQ$7,,$F81)), 0)),0)</f>
        <v>0</v>
      </c>
      <c r="BT81" s="176">
        <f>IF($C81&gt;0,(IF($BQ$7&gt;=$C81+1, (-FV(InflationRate,$BQ$7,,$G81)), 0)),0)</f>
        <v>0</v>
      </c>
      <c r="BU81" s="168">
        <f>IF($C81&gt;0,(IF($C81=$BU$7,(-FV(InflationRate,$BU$7,,$D81)),0)),0)</f>
        <v>0</v>
      </c>
      <c r="BV81" s="149">
        <f>IF($C81&gt;0,(IF($BU$7&gt;=$C81+1, (-FV(InflationRate,$BU$7,,$E81)), 0)),0)</f>
        <v>0</v>
      </c>
      <c r="BW81" s="149">
        <f>IF($C81&gt;0,(IF($BU$7&gt;=$C81+1, (-FV(InflationRate,$BU$7,,$F81)), 0)),0)</f>
        <v>0</v>
      </c>
      <c r="BX81" s="157">
        <f>IF($C81&gt;0,(IF($BU$7&gt;=$C81+1, (-FV(InflationRate,$BU$7,,$G81)), 0)),0)</f>
        <v>0</v>
      </c>
      <c r="BY81" s="160">
        <f>IF($C81&gt;0,(IF($C81=$BY$7,(-FV(InflationRate,$BY$7,,$D81)),0)),0)</f>
        <v>0</v>
      </c>
      <c r="BZ81" s="150">
        <f>IF($C81&gt;0,(IF($BY$7&gt;=$C81+1, (-FV(InflationRate,$BY$7,,$E81)), 0)),0)</f>
        <v>0</v>
      </c>
      <c r="CA81" s="150">
        <f>IF($C81&gt;0,(IF($BY$7&gt;=$C81+1, (-FV(InflationRate,$BY$7,,$F81)), 0)),0)</f>
        <v>0</v>
      </c>
      <c r="CB81" s="176">
        <f>IF($C81&gt;0,(IF($BY$7&gt;=$C81+1, (-FV(InflationRate,$BY$7,,$G81)), 0)),0)</f>
        <v>0</v>
      </c>
      <c r="CC81" s="168">
        <f>IF($C81&gt;0,(IF($C81=$CC$7,(-FV(InflationRate,$CC$7,,$D81)),0)),0)</f>
        <v>0</v>
      </c>
      <c r="CD81" s="149">
        <f>IF($C81&gt;0,(IF($CC$7&gt;=$C81+1, (-FV(InflationRate,$CC$7,,$E81)), 0)),0)</f>
        <v>0</v>
      </c>
      <c r="CE81" s="149">
        <f>IF($C81&gt;0,(IF($CC$7&gt;=$C81+1, (-FV(InflationRate,$CC$7,,$F81)), 0)),0)</f>
        <v>0</v>
      </c>
      <c r="CF81" s="157">
        <f>IF($C81&gt;0,(IF($CC$7&gt;=$C81+1, (-FV(InflationRate,$CC$7,,$G81)), 0)),0)</f>
        <v>0</v>
      </c>
      <c r="CG81" s="160">
        <f>IF($C81&gt;0,(IF($C81=$CG$7,(-FV(InflationRate,$CG$7,,$D81)),0)),0)</f>
        <v>0</v>
      </c>
      <c r="CH81" s="150">
        <f>IF($C81&gt;0,(IF($CG$7&gt;=$C81+1, (-FV(InflationRate,$CG$7,,$E81)), 0)),0)</f>
        <v>0</v>
      </c>
      <c r="CI81" s="150">
        <f>IF($C81&gt;0,(IF($CG$7&gt;=$C81+1, (-FV(InflationRate,$CG$7,,$F81)), 0)),0)</f>
        <v>0</v>
      </c>
      <c r="CJ81" s="176">
        <f>IF($C81&gt;0,(IF($CG$7&gt;=$C81+1, (-FV(InflationRate,$CG$7,,$G81)), 0)),0)</f>
        <v>0</v>
      </c>
      <c r="CK81" s="168">
        <f>IF($C81&gt;0,(IF($C81=$CK$7,(-FV(InflationRate,$CK$7,,$D81)),0)),0)</f>
        <v>0</v>
      </c>
      <c r="CL81" s="149">
        <f>IF($C81&gt;0,(IF($CK$7&gt;=$C81+1, (-FV(InflationRate,$CK$7,,$E81)), 0)),0)</f>
        <v>0</v>
      </c>
      <c r="CM81" s="149">
        <f>IF($C81&gt;0,(IF($CK$7&gt;=$C81+1, (-FV(InflationRate,$CK$7,,$F81)), 0)),0)</f>
        <v>0</v>
      </c>
      <c r="CN81" s="157">
        <f>IF($C81&gt;0,(IF($CK$7&gt;=$C81+1, (-FV(InflationRate,$CK$7,,$G81)), 0)),0)</f>
        <v>0</v>
      </c>
      <c r="CO81" s="160">
        <f>IF($C81&gt;0,(IF($C81=$CO$7,(-FV(InflationRate,$CO$7,,$D81)),0)),0)</f>
        <v>0</v>
      </c>
      <c r="CP81" s="150">
        <f>IF($C81&gt;0,(IF($CO$7&gt;=$C81+1, (-FV(InflationRate,$CO$7,,$E81)), 0)),0)</f>
        <v>0</v>
      </c>
      <c r="CQ81" s="150">
        <f>IF($C81&gt;0,(IF($CO$7&gt;=$C81+1, (-FV(InflationRate,$CO$7,,$F81)), 0)),0)</f>
        <v>0</v>
      </c>
      <c r="CR81" s="176">
        <f>IF($C81&gt;0,(IF($CO$7&gt;=$C81+1, (-FV(InflationRate,$CO$7,,$G81)), 0)),0)</f>
        <v>0</v>
      </c>
      <c r="CS81" s="168">
        <f>IF($C81&gt;0,(IF($C81=$CS$7,(-FV(InflationRate,$CS$7,,$D81)),0)),0)</f>
        <v>0</v>
      </c>
      <c r="CT81" s="149">
        <f>IF($C81&gt;0,(IF($CS$7&gt;=$C81+1, (-FV(InflationRate,$CS$7,,$E81)), 0)),0)</f>
        <v>0</v>
      </c>
      <c r="CU81" s="149">
        <f>IF($C81&gt;0,(IF($CS$7&gt;=$C81+1, (-FV(InflationRate,$CS$7,,$F81)), 0)),0)</f>
        <v>0</v>
      </c>
      <c r="CV81" s="157">
        <f>IF($C81&gt;0,(IF($CS$7&gt;=$C81+1, (-FV(InflationRate,$CS$7,,$G81)), 0)),0)</f>
        <v>0</v>
      </c>
      <c r="CW81" s="160">
        <f>IF($C81&gt;0,(IF($C81=$CW$7,(-FV(InflationRate,$CW$7,,$D81)),0)),0)</f>
        <v>0</v>
      </c>
      <c r="CX81" s="150">
        <f>IF($C81&gt;0,(IF($CW$7&gt;=$C81+1, (-FV(InflationRate,$CW$7,,$E81)), 0)),0)</f>
        <v>0</v>
      </c>
      <c r="CY81" s="150">
        <f>IF($C81&gt;0,(IF($CW$7&gt;=$C81+1, (-FV(InflationRate,$CW$7,,$F81)), 0)),0)</f>
        <v>0</v>
      </c>
      <c r="CZ81" s="176">
        <f>IF($C81&gt;0,(IF($CW$7&gt;=$C81+1, (-FV(InflationRate,$CW$7,,$G81)), 0)),0)</f>
        <v>0</v>
      </c>
      <c r="DA81" s="168">
        <f>IF($C81&gt;0,(IF($C81=$DA$7,(-FV(InflationRate,$DA$7,,$D81)),0)),0)</f>
        <v>0</v>
      </c>
      <c r="DB81" s="149">
        <f>IF($C81&gt;0,(IF($DA$7&gt;=$C81+1, (-FV(InflationRate,$DA$7,,$E81)), 0)),0)</f>
        <v>0</v>
      </c>
      <c r="DC81" s="149">
        <f>IF($C81&gt;0,(IF($DA$7&gt;=$C81+1, (-FV(InflationRate,$DA$7,,$F81)), 0)),0)</f>
        <v>0</v>
      </c>
      <c r="DD81" s="157">
        <f>IF($C81&gt;0,(IF($DA$7&gt;=$C81+1, (-FV(InflationRate,$DA$7,,$G81)), 0)),0)</f>
        <v>0</v>
      </c>
    </row>
    <row r="82" spans="2:108" ht="12.75" hidden="1" customHeight="1" x14ac:dyDescent="0.2">
      <c r="B82" s="183" t="s">
        <v>270</v>
      </c>
      <c r="C82" s="556"/>
      <c r="D82" s="168">
        <f>D67-D69-D70-D73-D74-D77-D78-D81</f>
        <v>0</v>
      </c>
      <c r="E82" s="149">
        <f>E67-E70-E74-E78</f>
        <v>0</v>
      </c>
      <c r="F82" s="149"/>
      <c r="G82" s="149">
        <f>G67-G70-G74-G78</f>
        <v>0</v>
      </c>
      <c r="H82" s="168">
        <f>SUM(I82:AB82)</f>
        <v>0</v>
      </c>
      <c r="I82" s="610">
        <f>-PV(InterestRate,I$8,,(SUM(AC82:AF82)))</f>
        <v>0</v>
      </c>
      <c r="J82" s="610">
        <f>-PV(InterestRate,J$8,,(SUM(AG82:AJ82)))</f>
        <v>0</v>
      </c>
      <c r="K82" s="610">
        <f>-PV(InterestRate,K$8,,(SUM(AK82:AN82)))</f>
        <v>0</v>
      </c>
      <c r="L82" s="610">
        <f>-PV(InterestRate,L$8,,(SUM(AO82:AR82)))</f>
        <v>0</v>
      </c>
      <c r="M82" s="610">
        <f>-PV(InterestRate,M$8,,(SUM(AS82:AV82)))</f>
        <v>0</v>
      </c>
      <c r="N82" s="610">
        <f>-PV(InterestRate,N$8,,(SUM(AW82:AZ82)))</f>
        <v>0</v>
      </c>
      <c r="O82" s="610">
        <f>-PV(InterestRate,O$8,,(SUM(BA82:BD82)))</f>
        <v>0</v>
      </c>
      <c r="P82" s="610">
        <f>-PV(InterestRate,P$8,,(SUM(BE82:BH82)))</f>
        <v>0</v>
      </c>
      <c r="Q82" s="610">
        <f>-PV(InterestRate,Q$8,,(SUM(BI82:BL82)))</f>
        <v>0</v>
      </c>
      <c r="R82" s="610">
        <f>-PV(InterestRate,R$8,,(SUM(BM82:BP82)))</f>
        <v>0</v>
      </c>
      <c r="S82" s="610">
        <f>-PV(InterestRate,S$8,,(SUM(BQ82:BT82)))</f>
        <v>0</v>
      </c>
      <c r="T82" s="610">
        <f>-PV(InterestRate,T$8,,(SUM(BU82:BX82)))</f>
        <v>0</v>
      </c>
      <c r="U82" s="610">
        <f>-PV(InterestRate,U$8,,(SUM(BY82:CB82)))</f>
        <v>0</v>
      </c>
      <c r="V82" s="610">
        <f>-PV(InterestRate,V$8,,(SUM(CC82:CF82)))</f>
        <v>0</v>
      </c>
      <c r="W82" s="610">
        <f>-PV(InterestRate,W$8,,(SUM(CG82:CJ82)))</f>
        <v>0</v>
      </c>
      <c r="X82" s="610">
        <f>-PV(InterestRate,X$8,,(SUM(CK82:CN82)))</f>
        <v>0</v>
      </c>
      <c r="Y82" s="610">
        <f>-PV(InterestRate,Y$8,,(SUM(CO82:CR82)))</f>
        <v>0</v>
      </c>
      <c r="Z82" s="610">
        <f>-PV(InterestRate,Z$8,,(SUM(CS82:CV82)))</f>
        <v>0</v>
      </c>
      <c r="AA82" s="610">
        <f>-PV(InterestRate,AA$8,,(SUM(CW82:CZ82)))</f>
        <v>0</v>
      </c>
      <c r="AB82" s="611">
        <f>-PV(InterestRate,AB$8,,(SUM(DA82:DD82)))</f>
        <v>0</v>
      </c>
      <c r="AC82" s="160">
        <f>IF($C82&gt;0,(IF($C82=$AC$7,$D82,0)),0)</f>
        <v>0</v>
      </c>
      <c r="AD82" s="150">
        <f>IF($C82&gt;0,(IF($AC$7&gt;=$C82+1,$E82,0)),0)</f>
        <v>0</v>
      </c>
      <c r="AE82" s="150">
        <f>IF($C82&gt;0,(IF($C82=$AC$7,$F82,0)),0)</f>
        <v>0</v>
      </c>
      <c r="AF82" s="165">
        <f>IF($C82&gt;0,(IF($AC$7&gt;=$C82+1,$G82,0)),0)</f>
        <v>0</v>
      </c>
      <c r="AG82" s="168">
        <f>IF($C82&gt;0,(IF($C82=$AG$7,(-FV(InflationRate,$AG$7,,$D82)),0)),0)</f>
        <v>0</v>
      </c>
      <c r="AH82" s="149">
        <f>IF($C82&gt;0,(IF($AG$7&gt;=$C82+1, (-FV(InflationRate,$AG$7,,$E82)), 0)),0)</f>
        <v>0</v>
      </c>
      <c r="AI82" s="149">
        <f>IF($C82&gt;0,(IF($AG$7&gt;=$C82+1, (-FV(InflationRate,$AG$7,,$F82)), 0)),0)</f>
        <v>0</v>
      </c>
      <c r="AJ82" s="171">
        <f>IF($C82&gt;0,(IF($AG$7&gt;=$C82+1, (-FV(InflationRate,$AG$7,,$G82)), 0)),0)</f>
        <v>0</v>
      </c>
      <c r="AK82" s="160">
        <f>IF($C82&gt;0,(IF($C82=$AK$7,(-FV(InflationRate,$AK$7,,$D82)),0)),0)</f>
        <v>0</v>
      </c>
      <c r="AL82" s="150">
        <f>IF($C82&gt;0,(IF($AK$7&gt;=$C82+1, (-FV(InflationRate,$AK$7,,$E82)), 0)),0)</f>
        <v>0</v>
      </c>
      <c r="AM82" s="150">
        <f>IF($C82&gt;0,(IF($AK$7&gt;=$C82+1, (-FV(InflationRate,$AK$7,,$F82)), 0)),0)</f>
        <v>0</v>
      </c>
      <c r="AN82" s="165">
        <f>IF($C82&gt;0,(IF($AK$7&gt;=$C82+1, (-FV(InflationRate,$AK$7,,$G82)), 0)),0)</f>
        <v>0</v>
      </c>
      <c r="AO82" s="168">
        <f>IF($C82&gt;0,(IF($C82=$AO$7,(-FV(InflationRate,$AO$7,,$D82)),0)),0)</f>
        <v>0</v>
      </c>
      <c r="AP82" s="149">
        <f>IF($C82&gt;0,(IF($AO$7&gt;=$C82+1, (-FV(InflationRate,$AO$7,,$E82)), 0)),0)</f>
        <v>0</v>
      </c>
      <c r="AQ82" s="149">
        <f>IF($C82&gt;0,(IF($AO$7&gt;=$C82+1, (-FV(InflationRate,$AO$7,,$F82)), 0)),0)</f>
        <v>0</v>
      </c>
      <c r="AR82" s="157">
        <f>IF($C82&gt;0,(IF($AO$7&gt;=$C82+1, (-FV(InflationRate,$AO$7,,$G82)), 0)),0)</f>
        <v>0</v>
      </c>
      <c r="AS82" s="160">
        <f>IF($C82&gt;0,(IF($C82=$AS$7,(-FV(InflationRate,$AS$7,,$D82)),0)),0)</f>
        <v>0</v>
      </c>
      <c r="AT82" s="150">
        <f>IF($C82&gt;0,(IF($AS$7&gt;=$C82+1, (-FV(InflationRate,$AS$7,,$E82)), 0)),0)</f>
        <v>0</v>
      </c>
      <c r="AU82" s="150">
        <f>IF($C82&gt;0,(IF($AS$7&gt;=$C82+1, (-FV(InflationRate,$AS$7,,$F82)), 0)),0)</f>
        <v>0</v>
      </c>
      <c r="AV82" s="165">
        <f>IF($C82&gt;0,(IF($AS$7&gt;=$C82+1, (-FV(InflationRate,$AS$7,,$G82)), 0)),0)</f>
        <v>0</v>
      </c>
      <c r="AW82" s="168">
        <f>IF($C82&gt;0,(IF($C82=$AW$7,(-FV(InflationRate,$AW$7,,$D82)),0)),0)</f>
        <v>0</v>
      </c>
      <c r="AX82" s="149">
        <f>IF($C82&gt;0,(IF($AW$7&gt;=$C82+1, (-FV(InflationRate,$AW$7,,$E82)), 0)),0)</f>
        <v>0</v>
      </c>
      <c r="AY82" s="149">
        <f>IF($C82&gt;0,(IF($AW$7&gt;=$C82+1, (-FV(InflationRate,$AW$7,,$F82)), 0)),0)</f>
        <v>0</v>
      </c>
      <c r="AZ82" s="157">
        <f>IF($C82&gt;0,(IF($AW$7&gt;=$C82+1, (-FV(InflationRate,$AW$7,,$G82)), 0)),0)</f>
        <v>0</v>
      </c>
      <c r="BA82" s="160">
        <f>IF($C82&gt;0,(IF($C82=$BA$7,(-FV(InflationRate,$BA$7,,$D82)),0)),0)</f>
        <v>0</v>
      </c>
      <c r="BB82" s="150">
        <f>IF($C82&gt;0,(IF($BA$7&gt;=$C82+1, (-FV(InflationRate,$BA$7,,$E82)), 0)),0)</f>
        <v>0</v>
      </c>
      <c r="BC82" s="150">
        <f>IF($C82&gt;0,(IF($BA$7&gt;=$C82+1, (-FV(InflationRate,$BA$7,,$F82)), 0)),0)</f>
        <v>0</v>
      </c>
      <c r="BD82" s="176">
        <f>IF($C82&gt;0,(IF($BA$7&gt;=$C82+1, (-FV(InflationRate,$BA$7,,$G82)), 0)),0)</f>
        <v>0</v>
      </c>
      <c r="BE82" s="168">
        <f>IF($C82&gt;0,(IF($C82=$BE$7,(-FV(InflationRate,$BE$7,,$D82)),0)),0)</f>
        <v>0</v>
      </c>
      <c r="BF82" s="149">
        <f>IF($C82&gt;0,(IF($BE$7&gt;=$C82+1, (-FV(InflationRate,$BE$7,,$E82)), 0)),0)</f>
        <v>0</v>
      </c>
      <c r="BG82" s="149">
        <f>IF($C82&gt;0,(IF($BE$7&gt;=$C82+1, (-FV(InflationRate,$BE$7,,$F82)), 0)),0)</f>
        <v>0</v>
      </c>
      <c r="BH82" s="171">
        <f>IF($C82&gt;0,(IF($BE$7&gt;=$C82+1, (-FV(InflationRate,$BE$7,,$G82)), 0)),0)</f>
        <v>0</v>
      </c>
      <c r="BI82" s="160">
        <f>IF($C82&gt;0,(IF($C82=$BI$7,(-FV(InflationRate,$BI$7,,$D82)),0)),0)</f>
        <v>0</v>
      </c>
      <c r="BJ82" s="150">
        <f>IF($C82&gt;0,(IF($BI$7&gt;=$C82+1, (-FV(InflationRate,$BI$7,,$E82)), 0)),0)</f>
        <v>0</v>
      </c>
      <c r="BK82" s="150">
        <f>IF($C82&gt;0,(IF($BI$7&gt;=$C82+1, (-FV(InflationRate,$BI$7,,$F82)), 0)),0)</f>
        <v>0</v>
      </c>
      <c r="BL82" s="176">
        <f>IF($C82&gt;0,(IF($BI$7&gt;=$C82+1, (-FV(InflationRate,$BI$7,,$G82)), 0)),0)</f>
        <v>0</v>
      </c>
      <c r="BM82" s="168">
        <f>IF($C82&gt;0,(IF($C82=$BM$7,(-FV(InflationRate,$BM$7,,$D82)),0)),0)</f>
        <v>0</v>
      </c>
      <c r="BN82" s="149">
        <f>IF($C82&gt;0,(IF($BM$7&gt;=$C82+1, (-FV(InflationRate,$BM$7,,$E82)), 0)),0)</f>
        <v>0</v>
      </c>
      <c r="BO82" s="149">
        <f>IF($C82&gt;0,(IF($BM$7&gt;=$C82+1, (-FV(InflationRate,$BM$7,,$F82)), 0)),0)</f>
        <v>0</v>
      </c>
      <c r="BP82" s="157">
        <f>IF($C82&gt;0,(IF($BM$7&gt;=$C82+1, (-FV(InflationRate,$BM$7,,$G82)), 0)),0)</f>
        <v>0</v>
      </c>
      <c r="BQ82" s="160">
        <f>IF($C82&gt;0,(IF($C82=$BQ$7,(-FV(InflationRate,$BQ$7,,$D82)),0)),0)</f>
        <v>0</v>
      </c>
      <c r="BR82" s="150">
        <f>IF($C82&gt;0,(IF($BQ$7&gt;=$C82+1, (-FV(InflationRate,$BQ$7,,$E82)), 0)),0)</f>
        <v>0</v>
      </c>
      <c r="BS82" s="150">
        <f>IF($C82&gt;0,(IF($BQ$7&gt;=$C82+1, (-FV(InflationRate,$BQ$7,,$F82)), 0)),0)</f>
        <v>0</v>
      </c>
      <c r="BT82" s="176">
        <f>IF($C82&gt;0,(IF($BQ$7&gt;=$C82+1, (-FV(InflationRate,$BQ$7,,$G82)), 0)),0)</f>
        <v>0</v>
      </c>
      <c r="BU82" s="168">
        <f>IF($C82&gt;0,(IF($C82=$BU$7,(-FV(InflationRate,$BU$7,,$D82)),0)),0)</f>
        <v>0</v>
      </c>
      <c r="BV82" s="149">
        <f>IF($C82&gt;0,(IF($BU$7&gt;=$C82+1, (-FV(InflationRate,$BU$7,,$E82)), 0)),0)</f>
        <v>0</v>
      </c>
      <c r="BW82" s="149">
        <f>IF($C82&gt;0,(IF($BU$7&gt;=$C82+1, (-FV(InflationRate,$BU$7,,$F82)), 0)),0)</f>
        <v>0</v>
      </c>
      <c r="BX82" s="157">
        <f>IF($C82&gt;0,(IF($BU$7&gt;=$C82+1, (-FV(InflationRate,$BU$7,,$G82)), 0)),0)</f>
        <v>0</v>
      </c>
      <c r="BY82" s="160">
        <f>IF($C82&gt;0,(IF($C82=$BY$7,(-FV(InflationRate,$BY$7,,$D82)),0)),0)</f>
        <v>0</v>
      </c>
      <c r="BZ82" s="150">
        <f>IF($C82&gt;0,(IF($BY$7&gt;=$C82+1, (-FV(InflationRate,$BY$7,,$E82)), 0)),0)</f>
        <v>0</v>
      </c>
      <c r="CA82" s="150">
        <f>IF($C82&gt;0,(IF($BY$7&gt;=$C82+1, (-FV(InflationRate,$BY$7,,$F82)), 0)),0)</f>
        <v>0</v>
      </c>
      <c r="CB82" s="176">
        <f>IF($C82&gt;0,(IF($BY$7&gt;=$C82+1, (-FV(InflationRate,$BY$7,,$G82)), 0)),0)</f>
        <v>0</v>
      </c>
      <c r="CC82" s="168">
        <f>IF($C82&gt;0,(IF($C82=$CC$7,(-FV(InflationRate,$CC$7,,$D82)),0)),0)</f>
        <v>0</v>
      </c>
      <c r="CD82" s="149">
        <f>IF($C82&gt;0,(IF($CC$7&gt;=$C82+1, (-FV(InflationRate,$CC$7,,$E82)), 0)),0)</f>
        <v>0</v>
      </c>
      <c r="CE82" s="149">
        <f>IF($C82&gt;0,(IF($CC$7&gt;=$C82+1, (-FV(InflationRate,$CC$7,,$F82)), 0)),0)</f>
        <v>0</v>
      </c>
      <c r="CF82" s="157">
        <f>IF($C82&gt;0,(IF($CC$7&gt;=$C82+1, (-FV(InflationRate,$CC$7,,$G82)), 0)),0)</f>
        <v>0</v>
      </c>
      <c r="CG82" s="160">
        <f>IF($C82&gt;0,(IF($C82=$CG$7,(-FV(InflationRate,$CG$7,,$D82)),0)),0)</f>
        <v>0</v>
      </c>
      <c r="CH82" s="150">
        <f>IF($C82&gt;0,(IF($CG$7&gt;=$C82+1, (-FV(InflationRate,$CG$7,,$E82)), 0)),0)</f>
        <v>0</v>
      </c>
      <c r="CI82" s="150">
        <f>IF($C82&gt;0,(IF($CG$7&gt;=$C82+1, (-FV(InflationRate,$CG$7,,$F82)), 0)),0)</f>
        <v>0</v>
      </c>
      <c r="CJ82" s="176">
        <f>IF($C82&gt;0,(IF($CG$7&gt;=$C82+1, (-FV(InflationRate,$CG$7,,$G82)), 0)),0)</f>
        <v>0</v>
      </c>
      <c r="CK82" s="168">
        <f>IF($C82&gt;0,(IF($C82=$CK$7,(-FV(InflationRate,$CK$7,,$D82)),0)),0)</f>
        <v>0</v>
      </c>
      <c r="CL82" s="149">
        <f>IF($C82&gt;0,(IF($CK$7&gt;=$C82+1, (-FV(InflationRate,$CK$7,,$E82)), 0)),0)</f>
        <v>0</v>
      </c>
      <c r="CM82" s="149">
        <f>IF($C82&gt;0,(IF($CK$7&gt;=$C82+1, (-FV(InflationRate,$CK$7,,$F82)), 0)),0)</f>
        <v>0</v>
      </c>
      <c r="CN82" s="157">
        <f>IF($C82&gt;0,(IF($CK$7&gt;=$C82+1, (-FV(InflationRate,$CK$7,,$G82)), 0)),0)</f>
        <v>0</v>
      </c>
      <c r="CO82" s="160">
        <f>IF($C82&gt;0,(IF($C82=$CO$7,(-FV(InflationRate,$CO$7,,$D82)),0)),0)</f>
        <v>0</v>
      </c>
      <c r="CP82" s="150">
        <f>IF($C82&gt;0,(IF($CO$7&gt;=$C82+1, (-FV(InflationRate,$CO$7,,$E82)), 0)),0)</f>
        <v>0</v>
      </c>
      <c r="CQ82" s="150">
        <f>IF($C82&gt;0,(IF($CO$7&gt;=$C82+1, (-FV(InflationRate,$CO$7,,$F82)), 0)),0)</f>
        <v>0</v>
      </c>
      <c r="CR82" s="176">
        <f>IF($C82&gt;0,(IF($CO$7&gt;=$C82+1, (-FV(InflationRate,$CO$7,,$G82)), 0)),0)</f>
        <v>0</v>
      </c>
      <c r="CS82" s="168">
        <f>IF($C82&gt;0,(IF($C82=$CS$7,(-FV(InflationRate,$CS$7,,$D82)),0)),0)</f>
        <v>0</v>
      </c>
      <c r="CT82" s="149">
        <f>IF($C82&gt;0,(IF($CS$7&gt;=$C82+1, (-FV(InflationRate,$CS$7,,$E82)), 0)),0)</f>
        <v>0</v>
      </c>
      <c r="CU82" s="149">
        <f>IF($C82&gt;0,(IF($CS$7&gt;=$C82+1, (-FV(InflationRate,$CS$7,,$F82)), 0)),0)</f>
        <v>0</v>
      </c>
      <c r="CV82" s="157">
        <f>IF($C82&gt;0,(IF($CS$7&gt;=$C82+1, (-FV(InflationRate,$CS$7,,$G82)), 0)),0)</f>
        <v>0</v>
      </c>
      <c r="CW82" s="160">
        <f>IF($C82&gt;0,(IF($C82=$CW$7,(-FV(InflationRate,$CW$7,,$D82)),0)),0)</f>
        <v>0</v>
      </c>
      <c r="CX82" s="150">
        <f>IF($C82&gt;0,(IF($CW$7&gt;=$C82+1, (-FV(InflationRate,$CW$7,,$E82)), 0)),0)</f>
        <v>0</v>
      </c>
      <c r="CY82" s="150">
        <f>IF($C82&gt;0,(IF($CW$7&gt;=$C82+1, (-FV(InflationRate,$CW$7,,$F82)), 0)),0)</f>
        <v>0</v>
      </c>
      <c r="CZ82" s="176">
        <f>IF($C82&gt;0,(IF($CW$7&gt;=$C82+1, (-FV(InflationRate,$CW$7,,$G82)), 0)),0)</f>
        <v>0</v>
      </c>
      <c r="DA82" s="168">
        <f>IF($C82&gt;0,(IF($C82=$DA$7,(-FV(InflationRate,$DA$7,,$D82)),0)),0)</f>
        <v>0</v>
      </c>
      <c r="DB82" s="149">
        <f>IF($C82&gt;0,(IF($DA$7&gt;=$C82+1, (-FV(InflationRate,$DA$7,,$E82)), 0)),0)</f>
        <v>0</v>
      </c>
      <c r="DC82" s="149">
        <f>IF($C82&gt;0,(IF($DA$7&gt;=$C82+1, (-FV(InflationRate,$DA$7,,$F82)), 0)),0)</f>
        <v>0</v>
      </c>
      <c r="DD82" s="157">
        <f>IF($C82&gt;0,(IF($DA$7&gt;=$C82+1, (-FV(InflationRate,$DA$7,,$G82)), 0)),0)</f>
        <v>0</v>
      </c>
    </row>
    <row r="83" spans="2:108" ht="12.75" hidden="1" customHeight="1" x14ac:dyDescent="0.2">
      <c r="B83" s="183" t="s">
        <v>203</v>
      </c>
      <c r="C83" s="556"/>
      <c r="D83" s="168"/>
      <c r="E83" s="149"/>
      <c r="F83" s="149">
        <f>F67-F71-F75-F79</f>
        <v>0</v>
      </c>
      <c r="G83" s="149"/>
      <c r="H83" s="168">
        <f>SUM(I83:AB83)</f>
        <v>0</v>
      </c>
      <c r="I83" s="610">
        <f>-PV(InterestRate,I$8,,(SUM(AC83:AF83)))</f>
        <v>0</v>
      </c>
      <c r="J83" s="610">
        <f>-PV(InterestRate,J$8,,(SUM(AG83:AJ83)))</f>
        <v>0</v>
      </c>
      <c r="K83" s="610">
        <f>-PV(InterestRate,K$8,,(SUM(AK83:AN83)))</f>
        <v>0</v>
      </c>
      <c r="L83" s="610">
        <f>-PV(InterestRate,L$8,,(SUM(AO83:AR83)))</f>
        <v>0</v>
      </c>
      <c r="M83" s="610">
        <f>-PV(InterestRate,M$8,,(SUM(AS83:AV83)))</f>
        <v>0</v>
      </c>
      <c r="N83" s="610">
        <f>-PV(InterestRate,N$8,,(SUM(AW83:AZ83)))</f>
        <v>0</v>
      </c>
      <c r="O83" s="610">
        <f>-PV(InterestRate,O$8,,(SUM(BA83:BD83)))</f>
        <v>0</v>
      </c>
      <c r="P83" s="610">
        <f>-PV(InterestRate,P$8,,(SUM(BE83:BH83)))</f>
        <v>0</v>
      </c>
      <c r="Q83" s="610">
        <f>-PV(InterestRate,Q$8,,(SUM(BI83:BL83)))</f>
        <v>0</v>
      </c>
      <c r="R83" s="610">
        <f>-PV(InterestRate,R$8,,(SUM(BM83:BP83)))</f>
        <v>0</v>
      </c>
      <c r="S83" s="610">
        <f>-PV(InterestRate,S$8,,(SUM(BQ83:BT83)))</f>
        <v>0</v>
      </c>
      <c r="T83" s="610">
        <f>-PV(InterestRate,T$8,,(SUM(BU83:BX83)))</f>
        <v>0</v>
      </c>
      <c r="U83" s="610">
        <f>-PV(InterestRate,U$8,,(SUM(BY83:CB83)))</f>
        <v>0</v>
      </c>
      <c r="V83" s="610">
        <f>-PV(InterestRate,V$8,,(SUM(CC83:CF83)))</f>
        <v>0</v>
      </c>
      <c r="W83" s="610">
        <f>-PV(InterestRate,W$8,,(SUM(CG83:CJ83)))</f>
        <v>0</v>
      </c>
      <c r="X83" s="610">
        <f>-PV(InterestRate,X$8,,(SUM(CK83:CN83)))</f>
        <v>0</v>
      </c>
      <c r="Y83" s="610">
        <f>-PV(InterestRate,Y$8,,(SUM(CO83:CR83)))</f>
        <v>0</v>
      </c>
      <c r="Z83" s="610">
        <f>-PV(InterestRate,Z$8,,(SUM(CS83:CV83)))</f>
        <v>0</v>
      </c>
      <c r="AA83" s="610">
        <f>-PV(InterestRate,AA$8,,(SUM(CW83:CZ83)))</f>
        <v>0</v>
      </c>
      <c r="AB83" s="611">
        <f>-PV(InterestRate,AB$8,,(SUM(DA83:DD83)))</f>
        <v>0</v>
      </c>
      <c r="AC83" s="160">
        <f>IF($C83&gt;0,(IF($C83=$AC$7,$D83,0)),0)</f>
        <v>0</v>
      </c>
      <c r="AD83" s="150">
        <f>IF($C83&gt;0,(IF($AC$7&gt;=$C83+1,$E83,0)),0)</f>
        <v>0</v>
      </c>
      <c r="AE83" s="150">
        <f>IF($C83&gt;0,(IF($C83=$AC$7,$F83,0)),0)</f>
        <v>0</v>
      </c>
      <c r="AF83" s="165">
        <f>IF($C83&gt;0,(IF($AC$7&gt;=$C83+1,$G83,0)),0)</f>
        <v>0</v>
      </c>
      <c r="AG83" s="168">
        <f>IF($C83&gt;0,(IF($C83=$AG$7,(-FV(InflationRate,$AG$7,,$D83)),0)),0)</f>
        <v>0</v>
      </c>
      <c r="AH83" s="149">
        <f>IF($C83&gt;0,(IF($AG$7&gt;=$C83+1, (-FV(InflationRate,$AG$7,,$E83)), 0)),0)</f>
        <v>0</v>
      </c>
      <c r="AI83" s="149">
        <f>IF($C83&gt;0,(IF($AG$7&gt;=$C83+1, (-FV(InflationRate,$AG$7,,$F83)), 0)),0)</f>
        <v>0</v>
      </c>
      <c r="AJ83" s="171">
        <f>IF($C83&gt;0,(IF($AG$7&gt;=$C83+1, (-FV(InflationRate,$AG$7,,$G83)), 0)),0)</f>
        <v>0</v>
      </c>
      <c r="AK83" s="160">
        <f>IF($C83&gt;0,(IF($C83=$AK$7,(-FV(InflationRate,$AK$7,,$D83)),0)),0)</f>
        <v>0</v>
      </c>
      <c r="AL83" s="150">
        <f>IF($C83&gt;0,(IF($AK$7&gt;=$C83+1, (-FV(InflationRate,$AK$7,,$E83)), 0)),0)</f>
        <v>0</v>
      </c>
      <c r="AM83" s="150">
        <f>IF($C83&gt;0,(IF($AK$7&gt;=$C83+1, (-FV(InflationRate,$AK$7,,$F83)), 0)),0)</f>
        <v>0</v>
      </c>
      <c r="AN83" s="165">
        <f>IF($C83&gt;0,(IF($AK$7&gt;=$C83+1, (-FV(InflationRate,$AK$7,,$G83)), 0)),0)</f>
        <v>0</v>
      </c>
      <c r="AO83" s="168">
        <f>IF($C83&gt;0,(IF($C83=$AO$7,(-FV(InflationRate,$AO$7,,$D83)),0)),0)</f>
        <v>0</v>
      </c>
      <c r="AP83" s="149">
        <f>IF($C83&gt;0,(IF($AO$7&gt;=$C83+1, (-FV(InflationRate,$AO$7,,$E83)), 0)),0)</f>
        <v>0</v>
      </c>
      <c r="AQ83" s="149">
        <f>IF($C83&gt;0,(IF($AO$7&gt;=$C83+1, (-FV(InflationRate,$AO$7,,$F83)), 0)),0)</f>
        <v>0</v>
      </c>
      <c r="AR83" s="157">
        <f>IF($C83&gt;0,(IF($AO$7&gt;=$C83+1, (-FV(InflationRate,$AO$7,,$G83)), 0)),0)</f>
        <v>0</v>
      </c>
      <c r="AS83" s="160">
        <f>IF($C83&gt;0,(IF($C83=$AS$7,(-FV(InflationRate,$AS$7,,$D83)),0)),0)</f>
        <v>0</v>
      </c>
      <c r="AT83" s="150">
        <f>IF($C83&gt;0,(IF($AS$7&gt;=$C83+1, (-FV(InflationRate,$AS$7,,$E83)), 0)),0)</f>
        <v>0</v>
      </c>
      <c r="AU83" s="150">
        <f>IF($C83&gt;0,(IF($AS$7&gt;=$C83+1, (-FV(InflationRate,$AS$7,,$F83)), 0)),0)</f>
        <v>0</v>
      </c>
      <c r="AV83" s="165">
        <f>IF($C83&gt;0,(IF($AS$7&gt;=$C83+1, (-FV(InflationRate,$AS$7,,$G83)), 0)),0)</f>
        <v>0</v>
      </c>
      <c r="AW83" s="168">
        <f>IF($C83&gt;0,(IF($C83=$AW$7,(-FV(InflationRate,$AW$7,,$D83)),0)),0)</f>
        <v>0</v>
      </c>
      <c r="AX83" s="149">
        <f>IF($C83&gt;0,(IF($AW$7&gt;=$C83+1, (-FV(InflationRate,$AW$7,,$E83)), 0)),0)</f>
        <v>0</v>
      </c>
      <c r="AY83" s="149">
        <f>IF($C83&gt;0,(IF($AW$7&gt;=$C83+1, (-FV(InflationRate,$AW$7,,$F83)), 0)),0)</f>
        <v>0</v>
      </c>
      <c r="AZ83" s="157">
        <f>IF($C83&gt;0,(IF($AW$7&gt;=$C83+1, (-FV(InflationRate,$AW$7,,$G83)), 0)),0)</f>
        <v>0</v>
      </c>
      <c r="BA83" s="160">
        <f>IF($C83&gt;0,(IF($C83=$BA$7,(-FV(InflationRate,$BA$7,,$D83)),0)),0)</f>
        <v>0</v>
      </c>
      <c r="BB83" s="150">
        <f>IF($C83&gt;0,(IF($BA$7&gt;=$C83+1, (-FV(InflationRate,$BA$7,,$E83)), 0)),0)</f>
        <v>0</v>
      </c>
      <c r="BC83" s="150">
        <f>IF($C83&gt;0,(IF($BA$7&gt;=$C83+1, (-FV(InflationRate,$BA$7,,$F83)), 0)),0)</f>
        <v>0</v>
      </c>
      <c r="BD83" s="176">
        <f>IF($C83&gt;0,(IF($BA$7&gt;=$C83+1, (-FV(InflationRate,$BA$7,,$G83)), 0)),0)</f>
        <v>0</v>
      </c>
      <c r="BE83" s="168">
        <f>IF($C83&gt;0,(IF($C83=$BE$7,(-FV(InflationRate,$BE$7,,$D83)),0)),0)</f>
        <v>0</v>
      </c>
      <c r="BF83" s="149">
        <f>IF($C83&gt;0,(IF($BE$7&gt;=$C83+1, (-FV(InflationRate,$BE$7,,$E83)), 0)),0)</f>
        <v>0</v>
      </c>
      <c r="BG83" s="149">
        <f>IF($C83&gt;0,(IF($BE$7&gt;=$C83+1, (-FV(InflationRate,$BE$7,,$F83)), 0)),0)</f>
        <v>0</v>
      </c>
      <c r="BH83" s="171">
        <f>IF($C83&gt;0,(IF($BE$7&gt;=$C83+1, (-FV(InflationRate,$BE$7,,$G83)), 0)),0)</f>
        <v>0</v>
      </c>
      <c r="BI83" s="160">
        <f>IF($C83&gt;0,(IF($C83=$BI$7,(-FV(InflationRate,$BI$7,,$D83)),0)),0)</f>
        <v>0</v>
      </c>
      <c r="BJ83" s="150">
        <f>IF($C83&gt;0,(IF($BI$7&gt;=$C83+1, (-FV(InflationRate,$BI$7,,$E83)), 0)),0)</f>
        <v>0</v>
      </c>
      <c r="BK83" s="150">
        <f>IF($C83&gt;0,(IF($BI$7&gt;=$C83+1, (-FV(InflationRate,$BI$7,,$F83)), 0)),0)</f>
        <v>0</v>
      </c>
      <c r="BL83" s="176">
        <f>IF($C83&gt;0,(IF($BI$7&gt;=$C83+1, (-FV(InflationRate,$BI$7,,$G83)), 0)),0)</f>
        <v>0</v>
      </c>
      <c r="BM83" s="168">
        <f>IF($C83&gt;0,(IF($C83=$BM$7,(-FV(InflationRate,$BM$7,,$D83)),0)),0)</f>
        <v>0</v>
      </c>
      <c r="BN83" s="149">
        <f>IF($C83&gt;0,(IF($BM$7&gt;=$C83+1, (-FV(InflationRate,$BM$7,,$E83)), 0)),0)</f>
        <v>0</v>
      </c>
      <c r="BO83" s="149">
        <f>IF($C83&gt;0,(IF($BM$7&gt;=$C83+1, (-FV(InflationRate,$BM$7,,$F83)), 0)),0)</f>
        <v>0</v>
      </c>
      <c r="BP83" s="157">
        <f>IF($C83&gt;0,(IF($BM$7&gt;=$C83+1, (-FV(InflationRate,$BM$7,,$G83)), 0)),0)</f>
        <v>0</v>
      </c>
      <c r="BQ83" s="160">
        <f>IF($C83&gt;0,(IF($C83=$BQ$7,(-FV(InflationRate,$BQ$7,,$D83)),0)),0)</f>
        <v>0</v>
      </c>
      <c r="BR83" s="150">
        <f>IF($C83&gt;0,(IF($BQ$7&gt;=$C83+1, (-FV(InflationRate,$BQ$7,,$E83)), 0)),0)</f>
        <v>0</v>
      </c>
      <c r="BS83" s="150">
        <f>IF($C83&gt;0,(IF($BQ$7&gt;=$C83+1, (-FV(InflationRate,$BQ$7,,$F83)), 0)),0)</f>
        <v>0</v>
      </c>
      <c r="BT83" s="176">
        <f>IF($C83&gt;0,(IF($BQ$7&gt;=$C83+1, (-FV(InflationRate,$BQ$7,,$G83)), 0)),0)</f>
        <v>0</v>
      </c>
      <c r="BU83" s="168">
        <f>IF($C83&gt;0,(IF($C83=$BU$7,(-FV(InflationRate,$BU$7,,$D83)),0)),0)</f>
        <v>0</v>
      </c>
      <c r="BV83" s="149">
        <f>IF($C83&gt;0,(IF($BU$7&gt;=$C83+1, (-FV(InflationRate,$BU$7,,$E83)), 0)),0)</f>
        <v>0</v>
      </c>
      <c r="BW83" s="149">
        <f>IF($C83&gt;0,(IF($BU$7&gt;=$C83+1, (-FV(InflationRate,$BU$7,,$F83)), 0)),0)</f>
        <v>0</v>
      </c>
      <c r="BX83" s="157">
        <f>IF($C83&gt;0,(IF($BU$7&gt;=$C83+1, (-FV(InflationRate,$BU$7,,$G83)), 0)),0)</f>
        <v>0</v>
      </c>
      <c r="BY83" s="160">
        <f>IF($C83&gt;0,(IF($C83=$BY$7,(-FV(InflationRate,$BY$7,,$D83)),0)),0)</f>
        <v>0</v>
      </c>
      <c r="BZ83" s="150">
        <f>IF($C83&gt;0,(IF($BY$7&gt;=$C83+1, (-FV(InflationRate,$BY$7,,$E83)), 0)),0)</f>
        <v>0</v>
      </c>
      <c r="CA83" s="150">
        <f>IF($C83&gt;0,(IF($BY$7&gt;=$C83+1, (-FV(InflationRate,$BY$7,,$F83)), 0)),0)</f>
        <v>0</v>
      </c>
      <c r="CB83" s="176">
        <f>IF($C83&gt;0,(IF($BY$7&gt;=$C83+1, (-FV(InflationRate,$BY$7,,$G83)), 0)),0)</f>
        <v>0</v>
      </c>
      <c r="CC83" s="168">
        <f>IF($C83&gt;0,(IF($C83=$CC$7,(-FV(InflationRate,$CC$7,,$D83)),0)),0)</f>
        <v>0</v>
      </c>
      <c r="CD83" s="149">
        <f>IF($C83&gt;0,(IF($CC$7&gt;=$C83+1, (-FV(InflationRate,$CC$7,,$E83)), 0)),0)</f>
        <v>0</v>
      </c>
      <c r="CE83" s="149">
        <f>IF($C83&gt;0,(IF($CC$7&gt;=$C83+1, (-FV(InflationRate,$CC$7,,$F83)), 0)),0)</f>
        <v>0</v>
      </c>
      <c r="CF83" s="157">
        <f>IF($C83&gt;0,(IF($CC$7&gt;=$C83+1, (-FV(InflationRate,$CC$7,,$G83)), 0)),0)</f>
        <v>0</v>
      </c>
      <c r="CG83" s="160">
        <f>IF($C83&gt;0,(IF($C83=$CG$7,(-FV(InflationRate,$CG$7,,$D83)),0)),0)</f>
        <v>0</v>
      </c>
      <c r="CH83" s="150">
        <f>IF($C83&gt;0,(IF($CG$7&gt;=$C83+1, (-FV(InflationRate,$CG$7,,$E83)), 0)),0)</f>
        <v>0</v>
      </c>
      <c r="CI83" s="150">
        <f>IF($C83&gt;0,(IF($CG$7&gt;=$C83+1, (-FV(InflationRate,$CG$7,,$F83)), 0)),0)</f>
        <v>0</v>
      </c>
      <c r="CJ83" s="176">
        <f>IF($C83&gt;0,(IF($CG$7&gt;=$C83+1, (-FV(InflationRate,$CG$7,,$G83)), 0)),0)</f>
        <v>0</v>
      </c>
      <c r="CK83" s="168">
        <f>IF($C83&gt;0,(IF($C83=$CK$7,(-FV(InflationRate,$CK$7,,$D83)),0)),0)</f>
        <v>0</v>
      </c>
      <c r="CL83" s="149">
        <f>IF($C83&gt;0,(IF($CK$7&gt;=$C83+1, (-FV(InflationRate,$CK$7,,$E83)), 0)),0)</f>
        <v>0</v>
      </c>
      <c r="CM83" s="149">
        <f>IF($C83&gt;0,(IF($CK$7&gt;=$C83+1, (-FV(InflationRate,$CK$7,,$F83)), 0)),0)</f>
        <v>0</v>
      </c>
      <c r="CN83" s="157">
        <f>IF($C83&gt;0,(IF($CK$7&gt;=$C83+1, (-FV(InflationRate,$CK$7,,$G83)), 0)),0)</f>
        <v>0</v>
      </c>
      <c r="CO83" s="160">
        <f>IF($C83&gt;0,(IF($C83=$CO$7,(-FV(InflationRate,$CO$7,,$D83)),0)),0)</f>
        <v>0</v>
      </c>
      <c r="CP83" s="150">
        <f>IF($C83&gt;0,(IF($CO$7&gt;=$C83+1, (-FV(InflationRate,$CO$7,,$E83)), 0)),0)</f>
        <v>0</v>
      </c>
      <c r="CQ83" s="150">
        <f>IF($C83&gt;0,(IF($CO$7&gt;=$C83+1, (-FV(InflationRate,$CO$7,,$F83)), 0)),0)</f>
        <v>0</v>
      </c>
      <c r="CR83" s="176">
        <f>IF($C83&gt;0,(IF($CO$7&gt;=$C83+1, (-FV(InflationRate,$CO$7,,$G83)), 0)),0)</f>
        <v>0</v>
      </c>
      <c r="CS83" s="168">
        <f>IF($C83&gt;0,(IF($C83=$CS$7,(-FV(InflationRate,$CS$7,,$D83)),0)),0)</f>
        <v>0</v>
      </c>
      <c r="CT83" s="149">
        <f>IF($C83&gt;0,(IF($CS$7&gt;=$C83+1, (-FV(InflationRate,$CS$7,,$E83)), 0)),0)</f>
        <v>0</v>
      </c>
      <c r="CU83" s="149">
        <f>IF($C83&gt;0,(IF($CS$7&gt;=$C83+1, (-FV(InflationRate,$CS$7,,$F83)), 0)),0)</f>
        <v>0</v>
      </c>
      <c r="CV83" s="157">
        <f>IF($C83&gt;0,(IF($CS$7&gt;=$C83+1, (-FV(InflationRate,$CS$7,,$G83)), 0)),0)</f>
        <v>0</v>
      </c>
      <c r="CW83" s="160">
        <f>IF($C83&gt;0,(IF($C83=$CW$7,(-FV(InflationRate,$CW$7,,$D83)),0)),0)</f>
        <v>0</v>
      </c>
      <c r="CX83" s="150">
        <f>IF($C83&gt;0,(IF($CW$7&gt;=$C83+1, (-FV(InflationRate,$CW$7,,$E83)), 0)),0)</f>
        <v>0</v>
      </c>
      <c r="CY83" s="150">
        <f>IF($C83&gt;0,(IF($CW$7&gt;=$C83+1, (-FV(InflationRate,$CW$7,,$F83)), 0)),0)</f>
        <v>0</v>
      </c>
      <c r="CZ83" s="176">
        <f>IF($C83&gt;0,(IF($CW$7&gt;=$C83+1, (-FV(InflationRate,$CW$7,,$G83)), 0)),0)</f>
        <v>0</v>
      </c>
      <c r="DA83" s="168">
        <f>IF($C83&gt;0,(IF($C83=$DA$7,(-FV(InflationRate,$DA$7,,$D83)),0)),0)</f>
        <v>0</v>
      </c>
      <c r="DB83" s="149">
        <f>IF($C83&gt;0,(IF($DA$7&gt;=$C83+1, (-FV(InflationRate,$DA$7,,$E83)), 0)),0)</f>
        <v>0</v>
      </c>
      <c r="DC83" s="149">
        <f>IF($C83&gt;0,(IF($DA$7&gt;=$C83+1, (-FV(InflationRate,$DA$7,,$F83)), 0)),0)</f>
        <v>0</v>
      </c>
      <c r="DD83" s="157">
        <f>IF($C83&gt;0,(IF($DA$7&gt;=$C83+1, (-FV(InflationRate,$DA$7,,$G83)), 0)),0)</f>
        <v>0</v>
      </c>
    </row>
    <row r="84" spans="2:108" ht="12.75" customHeight="1" x14ac:dyDescent="0.2">
      <c r="B84" s="181"/>
      <c r="C84" s="189"/>
      <c r="D84" s="168"/>
      <c r="E84" s="149"/>
      <c r="F84" s="149"/>
      <c r="G84" s="149"/>
      <c r="H84" s="168"/>
      <c r="I84" s="600"/>
      <c r="J84" s="600"/>
      <c r="K84" s="600"/>
      <c r="L84" s="600"/>
      <c r="M84" s="600"/>
      <c r="N84" s="600"/>
      <c r="O84" s="600"/>
      <c r="P84" s="600"/>
      <c r="Q84" s="600"/>
      <c r="R84" s="600"/>
      <c r="S84" s="600"/>
      <c r="T84" s="600"/>
      <c r="U84" s="600"/>
      <c r="V84" s="600"/>
      <c r="W84" s="600"/>
      <c r="X84" s="600"/>
      <c r="Y84" s="600"/>
      <c r="Z84" s="600"/>
      <c r="AA84" s="600"/>
      <c r="AB84" s="601"/>
      <c r="AC84" s="160"/>
      <c r="AD84" s="150"/>
      <c r="AE84" s="150"/>
      <c r="AF84" s="165"/>
      <c r="AG84" s="168"/>
      <c r="AH84" s="149"/>
      <c r="AI84" s="149"/>
      <c r="AJ84" s="171"/>
      <c r="AK84" s="160"/>
      <c r="AL84" s="150"/>
      <c r="AM84" s="150"/>
      <c r="AN84" s="165"/>
      <c r="AO84" s="168"/>
      <c r="AP84" s="149"/>
      <c r="AQ84" s="149"/>
      <c r="AR84" s="157"/>
      <c r="AS84" s="160"/>
      <c r="AT84" s="150"/>
      <c r="AU84" s="150"/>
      <c r="AV84" s="165"/>
      <c r="AW84" s="168"/>
      <c r="AX84" s="149"/>
      <c r="AY84" s="149"/>
      <c r="AZ84" s="157"/>
      <c r="BA84" s="160"/>
      <c r="BB84" s="150"/>
      <c r="BC84" s="150"/>
      <c r="BD84" s="176"/>
      <c r="BE84" s="168"/>
      <c r="BF84" s="149"/>
      <c r="BG84" s="149"/>
      <c r="BH84" s="171"/>
      <c r="BI84" s="160"/>
      <c r="BJ84" s="150"/>
      <c r="BK84" s="150"/>
      <c r="BL84" s="176"/>
      <c r="BM84" s="168"/>
      <c r="BN84" s="149"/>
      <c r="BO84" s="149"/>
      <c r="BP84" s="157"/>
      <c r="BQ84" s="160"/>
      <c r="BR84" s="150"/>
      <c r="BS84" s="150"/>
      <c r="BT84" s="176"/>
      <c r="BU84" s="168"/>
      <c r="BV84" s="149"/>
      <c r="BW84" s="149"/>
      <c r="BX84" s="157"/>
      <c r="BY84" s="160"/>
      <c r="BZ84" s="150"/>
      <c r="CA84" s="150"/>
      <c r="CB84" s="176"/>
      <c r="CC84" s="168"/>
      <c r="CD84" s="149"/>
      <c r="CE84" s="149"/>
      <c r="CF84" s="157"/>
      <c r="CG84" s="160"/>
      <c r="CH84" s="150"/>
      <c r="CI84" s="150"/>
      <c r="CJ84" s="176"/>
      <c r="CK84" s="168"/>
      <c r="CL84" s="149"/>
      <c r="CM84" s="149"/>
      <c r="CN84" s="157"/>
      <c r="CO84" s="160"/>
      <c r="CP84" s="150"/>
      <c r="CQ84" s="150"/>
      <c r="CR84" s="176"/>
      <c r="CS84" s="168"/>
      <c r="CT84" s="149"/>
      <c r="CU84" s="149"/>
      <c r="CV84" s="157"/>
      <c r="CW84" s="160"/>
      <c r="CX84" s="150"/>
      <c r="CY84" s="150"/>
      <c r="CZ84" s="176"/>
      <c r="DA84" s="168"/>
      <c r="DB84" s="149"/>
      <c r="DC84" s="149"/>
      <c r="DD84" s="157"/>
    </row>
    <row r="85" spans="2:108" ht="12.75" customHeight="1" x14ac:dyDescent="0.2">
      <c r="B85" s="212" t="str">
        <f>'WWTF - MP'!B5</f>
        <v>Wastewater Treatment Facility - Meetinghouse Pond (223 Beach Road)</v>
      </c>
      <c r="C85" s="189"/>
      <c r="D85" s="194">
        <f>'WWTF - MP'!F34</f>
        <v>8003100</v>
      </c>
      <c r="E85" s="195">
        <f>'WWTF - MP'!F63</f>
        <v>284300</v>
      </c>
      <c r="F85" s="195">
        <f>'WWTF - MP'!F94</f>
        <v>117500</v>
      </c>
      <c r="G85" s="195">
        <f>'WWTF - MP'!F123</f>
        <v>16900</v>
      </c>
      <c r="H85" s="168"/>
      <c r="I85" s="600"/>
      <c r="J85" s="600"/>
      <c r="K85" s="600"/>
      <c r="L85" s="600"/>
      <c r="M85" s="600"/>
      <c r="N85" s="600"/>
      <c r="O85" s="600"/>
      <c r="P85" s="600"/>
      <c r="Q85" s="600"/>
      <c r="R85" s="600"/>
      <c r="S85" s="600"/>
      <c r="T85" s="600"/>
      <c r="U85" s="600"/>
      <c r="V85" s="600"/>
      <c r="W85" s="600"/>
      <c r="X85" s="600"/>
      <c r="Y85" s="600"/>
      <c r="Z85" s="600"/>
      <c r="AA85" s="600"/>
      <c r="AB85" s="601"/>
      <c r="AC85" s="160"/>
      <c r="AD85" s="150"/>
      <c r="AE85" s="150"/>
      <c r="AF85" s="165"/>
      <c r="AG85" s="168"/>
      <c r="AH85" s="149"/>
      <c r="AI85" s="149"/>
      <c r="AJ85" s="171"/>
      <c r="AK85" s="160"/>
      <c r="AL85" s="150"/>
      <c r="AM85" s="150"/>
      <c r="AN85" s="165"/>
      <c r="AO85" s="168"/>
      <c r="AP85" s="149"/>
      <c r="AQ85" s="149"/>
      <c r="AR85" s="157"/>
      <c r="AS85" s="160"/>
      <c r="AT85" s="150"/>
      <c r="AU85" s="150"/>
      <c r="AV85" s="165"/>
      <c r="AW85" s="168"/>
      <c r="AX85" s="149"/>
      <c r="AY85" s="149"/>
      <c r="AZ85" s="157"/>
      <c r="BA85" s="160"/>
      <c r="BB85" s="150"/>
      <c r="BC85" s="150"/>
      <c r="BD85" s="176"/>
      <c r="BE85" s="168"/>
      <c r="BF85" s="149"/>
      <c r="BG85" s="149"/>
      <c r="BH85" s="171"/>
      <c r="BI85" s="160"/>
      <c r="BJ85" s="150"/>
      <c r="BK85" s="150"/>
      <c r="BL85" s="176"/>
      <c r="BM85" s="168"/>
      <c r="BN85" s="149"/>
      <c r="BO85" s="149"/>
      <c r="BP85" s="157"/>
      <c r="BQ85" s="160"/>
      <c r="BR85" s="150"/>
      <c r="BS85" s="150"/>
      <c r="BT85" s="176"/>
      <c r="BU85" s="168"/>
      <c r="BV85" s="149"/>
      <c r="BW85" s="149"/>
      <c r="BX85" s="157"/>
      <c r="BY85" s="160"/>
      <c r="BZ85" s="150"/>
      <c r="CA85" s="150"/>
      <c r="CB85" s="176"/>
      <c r="CC85" s="168"/>
      <c r="CD85" s="149"/>
      <c r="CE85" s="149"/>
      <c r="CF85" s="157"/>
      <c r="CG85" s="160"/>
      <c r="CH85" s="150"/>
      <c r="CI85" s="150"/>
      <c r="CJ85" s="176"/>
      <c r="CK85" s="168"/>
      <c r="CL85" s="149"/>
      <c r="CM85" s="149"/>
      <c r="CN85" s="157"/>
      <c r="CO85" s="160"/>
      <c r="CP85" s="150"/>
      <c r="CQ85" s="150"/>
      <c r="CR85" s="176"/>
      <c r="CS85" s="168"/>
      <c r="CT85" s="149"/>
      <c r="CU85" s="149"/>
      <c r="CV85" s="157"/>
      <c r="CW85" s="160"/>
      <c r="CX85" s="150"/>
      <c r="CY85" s="150"/>
      <c r="CZ85" s="176"/>
      <c r="DA85" s="168"/>
      <c r="DB85" s="149"/>
      <c r="DC85" s="149"/>
      <c r="DD85" s="157"/>
    </row>
    <row r="86" spans="2:108" ht="12.75" customHeight="1" x14ac:dyDescent="0.2">
      <c r="B86" s="182" t="s">
        <v>215</v>
      </c>
      <c r="C86" s="189"/>
      <c r="D86" s="168"/>
      <c r="E86" s="149"/>
      <c r="F86" s="149"/>
      <c r="G86" s="149"/>
      <c r="H86" s="168"/>
      <c r="I86" s="600"/>
      <c r="J86" s="600"/>
      <c r="K86" s="600"/>
      <c r="L86" s="600"/>
      <c r="M86" s="600"/>
      <c r="N86" s="600"/>
      <c r="O86" s="600"/>
      <c r="P86" s="600"/>
      <c r="Q86" s="600"/>
      <c r="R86" s="600"/>
      <c r="S86" s="600"/>
      <c r="T86" s="600"/>
      <c r="U86" s="600"/>
      <c r="V86" s="600"/>
      <c r="W86" s="600"/>
      <c r="X86" s="600"/>
      <c r="Y86" s="600"/>
      <c r="Z86" s="600"/>
      <c r="AA86" s="600"/>
      <c r="AB86" s="601"/>
      <c r="AC86" s="160"/>
      <c r="AD86" s="150"/>
      <c r="AE86" s="150"/>
      <c r="AF86" s="165"/>
      <c r="AG86" s="168"/>
      <c r="AH86" s="149"/>
      <c r="AI86" s="149"/>
      <c r="AJ86" s="171"/>
      <c r="AK86" s="160"/>
      <c r="AL86" s="150"/>
      <c r="AM86" s="150"/>
      <c r="AN86" s="165"/>
      <c r="AO86" s="168"/>
      <c r="AP86" s="149"/>
      <c r="AQ86" s="149"/>
      <c r="AR86" s="157"/>
      <c r="AS86" s="160"/>
      <c r="AT86" s="150"/>
      <c r="AU86" s="150"/>
      <c r="AV86" s="165"/>
      <c r="AW86" s="168"/>
      <c r="AX86" s="149"/>
      <c r="AY86" s="149"/>
      <c r="AZ86" s="157"/>
      <c r="BA86" s="160"/>
      <c r="BB86" s="150"/>
      <c r="BC86" s="150"/>
      <c r="BD86" s="176"/>
      <c r="BE86" s="168"/>
      <c r="BF86" s="149"/>
      <c r="BG86" s="149"/>
      <c r="BH86" s="171"/>
      <c r="BI86" s="160"/>
      <c r="BJ86" s="150"/>
      <c r="BK86" s="150"/>
      <c r="BL86" s="176"/>
      <c r="BM86" s="168"/>
      <c r="BN86" s="149"/>
      <c r="BO86" s="149"/>
      <c r="BP86" s="157"/>
      <c r="BQ86" s="160"/>
      <c r="BR86" s="150"/>
      <c r="BS86" s="150"/>
      <c r="BT86" s="176"/>
      <c r="BU86" s="168"/>
      <c r="BV86" s="149"/>
      <c r="BW86" s="149"/>
      <c r="BX86" s="157"/>
      <c r="BY86" s="160"/>
      <c r="BZ86" s="150"/>
      <c r="CA86" s="150"/>
      <c r="CB86" s="176"/>
      <c r="CC86" s="168"/>
      <c r="CD86" s="149"/>
      <c r="CE86" s="149"/>
      <c r="CF86" s="157"/>
      <c r="CG86" s="160"/>
      <c r="CH86" s="150"/>
      <c r="CI86" s="150"/>
      <c r="CJ86" s="176"/>
      <c r="CK86" s="168"/>
      <c r="CL86" s="149"/>
      <c r="CM86" s="149"/>
      <c r="CN86" s="157"/>
      <c r="CO86" s="160"/>
      <c r="CP86" s="150"/>
      <c r="CQ86" s="150"/>
      <c r="CR86" s="176"/>
      <c r="CS86" s="168"/>
      <c r="CT86" s="149"/>
      <c r="CU86" s="149"/>
      <c r="CV86" s="157"/>
      <c r="CW86" s="160"/>
      <c r="CX86" s="150"/>
      <c r="CY86" s="150"/>
      <c r="CZ86" s="176"/>
      <c r="DA86" s="168"/>
      <c r="DB86" s="149"/>
      <c r="DC86" s="149"/>
      <c r="DD86" s="157"/>
    </row>
    <row r="87" spans="2:108" ht="12.75" customHeight="1" x14ac:dyDescent="0.2">
      <c r="B87" s="183" t="s">
        <v>220</v>
      </c>
      <c r="C87" s="556">
        <v>6</v>
      </c>
      <c r="D87" s="557">
        <v>889200</v>
      </c>
      <c r="E87" s="149"/>
      <c r="F87" s="149"/>
      <c r="G87" s="149"/>
      <c r="H87" s="168">
        <f>SUM(I87:AB87)</f>
        <v>971016.36370708351</v>
      </c>
      <c r="I87" s="610">
        <f>-PV(InterestRate,I$8,,(SUM(AC87:AF87)))</f>
        <v>0</v>
      </c>
      <c r="J87" s="610">
        <f>-PV(InterestRate,J$8,,(SUM(AG87:AJ87)))</f>
        <v>0</v>
      </c>
      <c r="K87" s="610">
        <f>-PV(InterestRate,K$8,,(SUM(AK87:AN87)))</f>
        <v>0</v>
      </c>
      <c r="L87" s="610">
        <f>-PV(InterestRate,L$8,,(SUM(AO87:AR87)))</f>
        <v>0</v>
      </c>
      <c r="M87" s="610">
        <f>-PV(InterestRate,M$8,,(SUM(AS87:AV87)))</f>
        <v>0</v>
      </c>
      <c r="N87" s="610">
        <f>-PV(InterestRate,N$8,,(SUM(AW87:AZ87)))</f>
        <v>971016.36370708351</v>
      </c>
      <c r="O87" s="610">
        <f>-PV(InterestRate,O$8,,(SUM(BA87:BD87)))</f>
        <v>0</v>
      </c>
      <c r="P87" s="610">
        <f>-PV(InterestRate,P$8,,(SUM(BE87:BH87)))</f>
        <v>0</v>
      </c>
      <c r="Q87" s="610">
        <f>-PV(InterestRate,Q$8,,(SUM(BI87:BL87)))</f>
        <v>0</v>
      </c>
      <c r="R87" s="610">
        <f>-PV(InterestRate,R$8,,(SUM(BM87:BP87)))</f>
        <v>0</v>
      </c>
      <c r="S87" s="610">
        <f>-PV(InterestRate,S$8,,(SUM(BQ87:BT87)))</f>
        <v>0</v>
      </c>
      <c r="T87" s="610">
        <f>-PV(InterestRate,T$8,,(SUM(BU87:BX87)))</f>
        <v>0</v>
      </c>
      <c r="U87" s="610">
        <f>-PV(InterestRate,U$8,,(SUM(BY87:CB87)))</f>
        <v>0</v>
      </c>
      <c r="V87" s="610">
        <f>-PV(InterestRate,V$8,,(SUM(CC87:CF87)))</f>
        <v>0</v>
      </c>
      <c r="W87" s="610">
        <f>-PV(InterestRate,W$8,,(SUM(CG87:CJ87)))</f>
        <v>0</v>
      </c>
      <c r="X87" s="610">
        <f>-PV(InterestRate,X$8,,(SUM(CK87:CN87)))</f>
        <v>0</v>
      </c>
      <c r="Y87" s="610">
        <f>-PV(InterestRate,Y$8,,(SUM(CO87:CR87)))</f>
        <v>0</v>
      </c>
      <c r="Z87" s="610">
        <f>-PV(InterestRate,Z$8,,(SUM(CS87:CV87)))</f>
        <v>0</v>
      </c>
      <c r="AA87" s="610">
        <f>-PV(InterestRate,AA$8,,(SUM(CW87:CZ87)))</f>
        <v>0</v>
      </c>
      <c r="AB87" s="611">
        <f>-PV(InterestRate,AB$8,,(SUM(DA87:DD87)))</f>
        <v>0</v>
      </c>
      <c r="AC87" s="160">
        <f>IF($C87&gt;0,(IF($C87=$AC$7,$D87,0)),0)</f>
        <v>0</v>
      </c>
      <c r="AD87" s="150">
        <f>IF($C87&gt;0,(IF($AC$7&gt;=$C87+1,$E87,0)),0)</f>
        <v>0</v>
      </c>
      <c r="AE87" s="150">
        <f>IF($C87&gt;0,(IF($C87=$AC$7,$F87,0)),0)</f>
        <v>0</v>
      </c>
      <c r="AF87" s="165">
        <f>IF($C87&gt;0,(IF($AC$7&gt;=$C87+1,$G87,0)),0)</f>
        <v>0</v>
      </c>
      <c r="AG87" s="168">
        <f>IF($C87&gt;0,(IF($C87=$AG$7,(-FV(InflationRate,$AG$7,,$D87)),0)),0)</f>
        <v>0</v>
      </c>
      <c r="AH87" s="149">
        <f>IF($C87&gt;0,(IF($AG$7&gt;=$C87+1, (-FV(InflationRate,$AG$7,,$E87)), 0)),0)</f>
        <v>0</v>
      </c>
      <c r="AI87" s="149">
        <f>IF($C87&gt;0,(IF($AG$7&gt;=$C87+1, (-FV(InflationRate,$AG$7,,$F87)), 0)),0)</f>
        <v>0</v>
      </c>
      <c r="AJ87" s="171">
        <f>IF($C87&gt;0,(IF($AG$7&gt;=$C87+1, (-FV(InflationRate,$AG$7,,$G87)), 0)),0)</f>
        <v>0</v>
      </c>
      <c r="AK87" s="160">
        <f>IF($C87&gt;0,(IF($C87=$AK$7,(-FV(InflationRate,$AK$7,,$D87)),0)),0)</f>
        <v>0</v>
      </c>
      <c r="AL87" s="150">
        <f>IF($C87&gt;0,(IF($AK$7&gt;=$C87+1, (-FV(InflationRate,$AK$7,,$E87)), 0)),0)</f>
        <v>0</v>
      </c>
      <c r="AM87" s="150">
        <f>IF($C87&gt;0,(IF($AK$7&gt;=$C87+1, (-FV(InflationRate,$AK$7,,$F87)), 0)),0)</f>
        <v>0</v>
      </c>
      <c r="AN87" s="165">
        <f>IF($C87&gt;0,(IF($AK$7&gt;=$C87+1, (-FV(InflationRate,$AK$7,,$G87)), 0)),0)</f>
        <v>0</v>
      </c>
      <c r="AO87" s="168">
        <f>IF($C87&gt;0,(IF($C87=$AO$7,(-FV(InflationRate,$AO$7,,$D87)),0)),0)</f>
        <v>0</v>
      </c>
      <c r="AP87" s="149">
        <f>IF($C87&gt;0,(IF($AO$7&gt;=$C87+1, (-FV(InflationRate,$AO$7,,$E87)), 0)),0)</f>
        <v>0</v>
      </c>
      <c r="AQ87" s="149">
        <f>IF($C87&gt;0,(IF($AO$7&gt;=$C87+1, (-FV(InflationRate,$AO$7,,$F87)), 0)),0)</f>
        <v>0</v>
      </c>
      <c r="AR87" s="157">
        <f>IF($C87&gt;0,(IF($AO$7&gt;=$C87+1, (-FV(InflationRate,$AO$7,,$G87)), 0)),0)</f>
        <v>0</v>
      </c>
      <c r="AS87" s="160">
        <f>IF($C87&gt;0,(IF($C87=$AS$7,(-FV(InflationRate,$AS$7,,$D87)),0)),0)</f>
        <v>0</v>
      </c>
      <c r="AT87" s="150">
        <f>IF($C87&gt;0,(IF($AS$7&gt;=$C87+1, (-FV(InflationRate,$AS$7,,$E87)), 0)),0)</f>
        <v>0</v>
      </c>
      <c r="AU87" s="150">
        <f>IF($C87&gt;0,(IF($AS$7&gt;=$C87+1, (-FV(InflationRate,$AS$7,,$F87)), 0)),0)</f>
        <v>0</v>
      </c>
      <c r="AV87" s="165">
        <f>IF($C87&gt;0,(IF($AS$7&gt;=$C87+1, (-FV(InflationRate,$AS$7,,$G87)), 0)),0)</f>
        <v>0</v>
      </c>
      <c r="AW87" s="168">
        <f>IF($C87&gt;0,(IF($C87=$AW$7,(-FV(InflationRate,$AW$7,,$D87)),0)),0)</f>
        <v>1061751.3020735867</v>
      </c>
      <c r="AX87" s="149">
        <f>IF($C87&gt;0,(IF($AW$7&gt;=$C87+1, (-FV(InflationRate,$AW$7,,$E87)), 0)),0)</f>
        <v>0</v>
      </c>
      <c r="AY87" s="149">
        <f>IF($C87&gt;0,(IF($AW$7&gt;=$C87+1, (-FV(InflationRate,$AW$7,,$F87)), 0)),0)</f>
        <v>0</v>
      </c>
      <c r="AZ87" s="157">
        <f>IF($C87&gt;0,(IF($AW$7&gt;=$C87+1, (-FV(InflationRate,$AW$7,,$G87)), 0)),0)</f>
        <v>0</v>
      </c>
      <c r="BA87" s="160">
        <f>IF($C87&gt;0,(IF($C87=$BA$7,(-FV(InflationRate,$BA$7,,$D87)),0)),0)</f>
        <v>0</v>
      </c>
      <c r="BB87" s="150">
        <f>IF($C87&gt;0,(IF($BA$7&gt;=$C87+1, (-FV(InflationRate,$BA$7,,$E87)), 0)),0)</f>
        <v>0</v>
      </c>
      <c r="BC87" s="150">
        <f>IF($C87&gt;0,(IF($BA$7&gt;=$C87+1, (-FV(InflationRate,$BA$7,,$F87)), 0)),0)</f>
        <v>0</v>
      </c>
      <c r="BD87" s="176">
        <f>IF($C87&gt;0,(IF($BA$7&gt;=$C87+1, (-FV(InflationRate,$BA$7,,$G87)), 0)),0)</f>
        <v>0</v>
      </c>
      <c r="BE87" s="168">
        <f>IF($C87&gt;0,(IF($C87=$BE$7,(-FV(InflationRate,$BE$7,,$D87)),0)),0)</f>
        <v>0</v>
      </c>
      <c r="BF87" s="149">
        <f>IF($C87&gt;0,(IF($BE$7&gt;=$C87+1, (-FV(InflationRate,$BE$7,,$E87)), 0)),0)</f>
        <v>0</v>
      </c>
      <c r="BG87" s="149">
        <f>IF($C87&gt;0,(IF($BE$7&gt;=$C87+1, (-FV(InflationRate,$BE$7,,$F87)), 0)),0)</f>
        <v>0</v>
      </c>
      <c r="BH87" s="171">
        <f>IF($C87&gt;0,(IF($BE$7&gt;=$C87+1, (-FV(InflationRate,$BE$7,,$G87)), 0)),0)</f>
        <v>0</v>
      </c>
      <c r="BI87" s="160">
        <f>IF($C87&gt;0,(IF($C87=$BI$7,(-FV(InflationRate,$BI$7,,$D87)),0)),0)</f>
        <v>0</v>
      </c>
      <c r="BJ87" s="150">
        <f>IF($C87&gt;0,(IF($BI$7&gt;=$C87+1, (-FV(InflationRate,$BI$7,,$E87)), 0)),0)</f>
        <v>0</v>
      </c>
      <c r="BK87" s="150">
        <f>IF($C87&gt;0,(IF($BI$7&gt;=$C87+1, (-FV(InflationRate,$BI$7,,$F87)), 0)),0)</f>
        <v>0</v>
      </c>
      <c r="BL87" s="176">
        <f>IF($C87&gt;0,(IF($BI$7&gt;=$C87+1, (-FV(InflationRate,$BI$7,,$G87)), 0)),0)</f>
        <v>0</v>
      </c>
      <c r="BM87" s="168">
        <f>IF($C87&gt;0,(IF($C87=$BM$7,(-FV(InflationRate,$BM$7,,$D87)),0)),0)</f>
        <v>0</v>
      </c>
      <c r="BN87" s="149">
        <f>IF($C87&gt;0,(IF($BM$7&gt;=$C87+1, (-FV(InflationRate,$BM$7,,$E87)), 0)),0)</f>
        <v>0</v>
      </c>
      <c r="BO87" s="149">
        <f>IF($C87&gt;0,(IF($BM$7&gt;=$C87+1, (-FV(InflationRate,$BM$7,,$F87)), 0)),0)</f>
        <v>0</v>
      </c>
      <c r="BP87" s="157">
        <f>IF($C87&gt;0,(IF($BM$7&gt;=$C87+1, (-FV(InflationRate,$BM$7,,$G87)), 0)),0)</f>
        <v>0</v>
      </c>
      <c r="BQ87" s="160">
        <f>IF($C87&gt;0,(IF($C87=$BQ$7,(-FV(InflationRate,$BQ$7,,$D87)),0)),0)</f>
        <v>0</v>
      </c>
      <c r="BR87" s="150">
        <f>IF($C87&gt;0,(IF($BQ$7&gt;=$C87+1, (-FV(InflationRate,$BQ$7,,$E87)), 0)),0)</f>
        <v>0</v>
      </c>
      <c r="BS87" s="150">
        <f>IF($C87&gt;0,(IF($BQ$7&gt;=$C87+1, (-FV(InflationRate,$BQ$7,,$F87)), 0)),0)</f>
        <v>0</v>
      </c>
      <c r="BT87" s="176">
        <f>IF($C87&gt;0,(IF($BQ$7&gt;=$C87+1, (-FV(InflationRate,$BQ$7,,$G87)), 0)),0)</f>
        <v>0</v>
      </c>
      <c r="BU87" s="168">
        <f>IF($C87&gt;0,(IF($C87=$BU$7,(-FV(InflationRate,$BU$7,,$D87)),0)),0)</f>
        <v>0</v>
      </c>
      <c r="BV87" s="149">
        <f>IF($C87&gt;0,(IF($BU$7&gt;=$C87+1, (-FV(InflationRate,$BU$7,,$E87)), 0)),0)</f>
        <v>0</v>
      </c>
      <c r="BW87" s="149">
        <f>IF($C87&gt;0,(IF($BU$7&gt;=$C87+1, (-FV(InflationRate,$BU$7,,$F87)), 0)),0)</f>
        <v>0</v>
      </c>
      <c r="BX87" s="157">
        <f>IF($C87&gt;0,(IF($BU$7&gt;=$C87+1, (-FV(InflationRate,$BU$7,,$G87)), 0)),0)</f>
        <v>0</v>
      </c>
      <c r="BY87" s="160">
        <f>IF($C87&gt;0,(IF($C87=$BY$7,(-FV(InflationRate,$BY$7,,$D87)),0)),0)</f>
        <v>0</v>
      </c>
      <c r="BZ87" s="150">
        <f>IF($C87&gt;0,(IF($BY$7&gt;=$C87+1, (-FV(InflationRate,$BY$7,,$E87)), 0)),0)</f>
        <v>0</v>
      </c>
      <c r="CA87" s="150">
        <f>IF($C87&gt;0,(IF($BY$7&gt;=$C87+1, (-FV(InflationRate,$BY$7,,$F87)), 0)),0)</f>
        <v>0</v>
      </c>
      <c r="CB87" s="176">
        <f>IF($C87&gt;0,(IF($BY$7&gt;=$C87+1, (-FV(InflationRate,$BY$7,,$G87)), 0)),0)</f>
        <v>0</v>
      </c>
      <c r="CC87" s="168">
        <f>IF($C87&gt;0,(IF($C87=$CC$7,(-FV(InflationRate,$CC$7,,$D87)),0)),0)</f>
        <v>0</v>
      </c>
      <c r="CD87" s="149">
        <f>IF($C87&gt;0,(IF($CC$7&gt;=$C87+1, (-FV(InflationRate,$CC$7,,$E87)), 0)),0)</f>
        <v>0</v>
      </c>
      <c r="CE87" s="149">
        <f>IF($C87&gt;0,(IF($CC$7&gt;=$C87+1, (-FV(InflationRate,$CC$7,,$F87)), 0)),0)</f>
        <v>0</v>
      </c>
      <c r="CF87" s="157">
        <f>IF($C87&gt;0,(IF($CC$7&gt;=$C87+1, (-FV(InflationRate,$CC$7,,$G87)), 0)),0)</f>
        <v>0</v>
      </c>
      <c r="CG87" s="160">
        <f>IF($C87&gt;0,(IF($C87=$CG$7,(-FV(InflationRate,$CG$7,,$D87)),0)),0)</f>
        <v>0</v>
      </c>
      <c r="CH87" s="150">
        <f>IF($C87&gt;0,(IF($CG$7&gt;=$C87+1, (-FV(InflationRate,$CG$7,,$E87)), 0)),0)</f>
        <v>0</v>
      </c>
      <c r="CI87" s="150">
        <f>IF($C87&gt;0,(IF($CG$7&gt;=$C87+1, (-FV(InflationRate,$CG$7,,$F87)), 0)),0)</f>
        <v>0</v>
      </c>
      <c r="CJ87" s="176">
        <f>IF($C87&gt;0,(IF($CG$7&gt;=$C87+1, (-FV(InflationRate,$CG$7,,$G87)), 0)),0)</f>
        <v>0</v>
      </c>
      <c r="CK87" s="168">
        <f>IF($C87&gt;0,(IF($C87=$CK$7,(-FV(InflationRate,$CK$7,,$D87)),0)),0)</f>
        <v>0</v>
      </c>
      <c r="CL87" s="149">
        <f>IF($C87&gt;0,(IF($CK$7&gt;=$C87+1, (-FV(InflationRate,$CK$7,,$E87)), 0)),0)</f>
        <v>0</v>
      </c>
      <c r="CM87" s="149">
        <f>IF($C87&gt;0,(IF($CK$7&gt;=$C87+1, (-FV(InflationRate,$CK$7,,$F87)), 0)),0)</f>
        <v>0</v>
      </c>
      <c r="CN87" s="157">
        <f>IF($C87&gt;0,(IF($CK$7&gt;=$C87+1, (-FV(InflationRate,$CK$7,,$G87)), 0)),0)</f>
        <v>0</v>
      </c>
      <c r="CO87" s="160">
        <f>IF($C87&gt;0,(IF($C87=$CO$7,(-FV(InflationRate,$CO$7,,$D87)),0)),0)</f>
        <v>0</v>
      </c>
      <c r="CP87" s="150">
        <f>IF($C87&gt;0,(IF($CO$7&gt;=$C87+1, (-FV(InflationRate,$CO$7,,$E87)), 0)),0)</f>
        <v>0</v>
      </c>
      <c r="CQ87" s="150">
        <f>IF($C87&gt;0,(IF($CO$7&gt;=$C87+1, (-FV(InflationRate,$CO$7,,$F87)), 0)),0)</f>
        <v>0</v>
      </c>
      <c r="CR87" s="176">
        <f>IF($C87&gt;0,(IF($CO$7&gt;=$C87+1, (-FV(InflationRate,$CO$7,,$G87)), 0)),0)</f>
        <v>0</v>
      </c>
      <c r="CS87" s="168">
        <f>IF($C87&gt;0,(IF($C87=$CS$7,(-FV(InflationRate,$CS$7,,$D87)),0)),0)</f>
        <v>0</v>
      </c>
      <c r="CT87" s="149">
        <f>IF($C87&gt;0,(IF($CS$7&gt;=$C87+1, (-FV(InflationRate,$CS$7,,$E87)), 0)),0)</f>
        <v>0</v>
      </c>
      <c r="CU87" s="149">
        <f>IF($C87&gt;0,(IF($CS$7&gt;=$C87+1, (-FV(InflationRate,$CS$7,,$F87)), 0)),0)</f>
        <v>0</v>
      </c>
      <c r="CV87" s="157">
        <f>IF($C87&gt;0,(IF($CS$7&gt;=$C87+1, (-FV(InflationRate,$CS$7,,$G87)), 0)),0)</f>
        <v>0</v>
      </c>
      <c r="CW87" s="160">
        <f>IF($C87&gt;0,(IF($C87=$CW$7,(-FV(InflationRate,$CW$7,,$D87)),0)),0)</f>
        <v>0</v>
      </c>
      <c r="CX87" s="150">
        <f>IF($C87&gt;0,(IF($CW$7&gt;=$C87+1, (-FV(InflationRate,$CW$7,,$E87)), 0)),0)</f>
        <v>0</v>
      </c>
      <c r="CY87" s="150">
        <f>IF($C87&gt;0,(IF($CW$7&gt;=$C87+1, (-FV(InflationRate,$CW$7,,$F87)), 0)),0)</f>
        <v>0</v>
      </c>
      <c r="CZ87" s="176">
        <f>IF($C87&gt;0,(IF($CW$7&gt;=$C87+1, (-FV(InflationRate,$CW$7,,$G87)), 0)),0)</f>
        <v>0</v>
      </c>
      <c r="DA87" s="168">
        <f>IF($C87&gt;0,(IF($C87=$DA$7,(-FV(InflationRate,$DA$7,,$D87)),0)),0)</f>
        <v>0</v>
      </c>
      <c r="DB87" s="149">
        <f>IF($C87&gt;0,(IF($DA$7&gt;=$C87+1, (-FV(InflationRate,$DA$7,,$E87)), 0)),0)</f>
        <v>0</v>
      </c>
      <c r="DC87" s="149">
        <f>IF($C87&gt;0,(IF($DA$7&gt;=$C87+1, (-FV(InflationRate,$DA$7,,$F87)), 0)),0)</f>
        <v>0</v>
      </c>
      <c r="DD87" s="157">
        <f>IF($C87&gt;0,(IF($DA$7&gt;=$C87+1, (-FV(InflationRate,$DA$7,,$G87)), 0)),0)</f>
        <v>0</v>
      </c>
    </row>
    <row r="88" spans="2:108" ht="12.75" customHeight="1" x14ac:dyDescent="0.2">
      <c r="B88" s="183" t="s">
        <v>270</v>
      </c>
      <c r="C88" s="556">
        <v>8</v>
      </c>
      <c r="D88" s="557">
        <v>7113900</v>
      </c>
      <c r="E88" s="558">
        <v>284300</v>
      </c>
      <c r="F88" s="149"/>
      <c r="G88" s="558">
        <v>16900</v>
      </c>
      <c r="H88" s="168">
        <f>SUM(I88:AB88)</f>
        <v>12476641.295614034</v>
      </c>
      <c r="I88" s="610">
        <f>-PV(InterestRate,I$8,,(SUM(AC88:AF88)))</f>
        <v>0</v>
      </c>
      <c r="J88" s="610">
        <f>-PV(InterestRate,J$8,,(SUM(AG88:AJ88)))</f>
        <v>0</v>
      </c>
      <c r="K88" s="610">
        <f>-PV(InterestRate,K$8,,(SUM(AK88:AN88)))</f>
        <v>0</v>
      </c>
      <c r="L88" s="610">
        <f>-PV(InterestRate,L$8,,(SUM(AO88:AR88)))</f>
        <v>0</v>
      </c>
      <c r="M88" s="610">
        <f>-PV(InterestRate,M$8,,(SUM(AS88:AV88)))</f>
        <v>0</v>
      </c>
      <c r="N88" s="610">
        <f>-PV(InterestRate,N$8,,(SUM(AW88:AZ88)))</f>
        <v>0</v>
      </c>
      <c r="O88" s="610">
        <f>-PV(InterestRate,O$8,,(SUM(BA88:BD88)))</f>
        <v>0</v>
      </c>
      <c r="P88" s="610">
        <f>-PV(InterestRate,P$8,,(SUM(BE88:BH88)))</f>
        <v>7999764.7469834797</v>
      </c>
      <c r="Q88" s="610">
        <f>-PV(InterestRate,Q$8,,(SUM(BI88:BL88)))</f>
        <v>343712.72394081013</v>
      </c>
      <c r="R88" s="610">
        <f>-PV(InterestRate,R$8,,(SUM(BM88:BP88)))</f>
        <v>348792.22232417192</v>
      </c>
      <c r="S88" s="610">
        <f>-PV(InterestRate,S$8,,(SUM(BQ88:BT88)))</f>
        <v>353946.7871861055</v>
      </c>
      <c r="T88" s="610">
        <f>-PV(InterestRate,T$8,,(SUM(BU88:BX88)))</f>
        <v>359177.52788343717</v>
      </c>
      <c r="U88" s="610">
        <f>-PV(InterestRate,U$8,,(SUM(BY88:CB88)))</f>
        <v>364485.57016742881</v>
      </c>
      <c r="V88" s="610">
        <f>-PV(InterestRate,V$8,,(SUM(CC88:CF88)))</f>
        <v>369872.05642606091</v>
      </c>
      <c r="W88" s="610">
        <f>-PV(InterestRate,W$8,,(SUM(CG88:CJ88)))</f>
        <v>375338.14592989441</v>
      </c>
      <c r="X88" s="610">
        <f>-PV(InterestRate,X$8,,(SUM(CK88:CN88)))</f>
        <v>380885.01508156769</v>
      </c>
      <c r="Y88" s="610">
        <f>-PV(InterestRate,Y$8,,(SUM(CO88:CR88)))</f>
        <v>386513.85766898014</v>
      </c>
      <c r="Z88" s="610">
        <f>-PV(InterestRate,Z$8,,(SUM(CS88:CV88)))</f>
        <v>392225.88512221631</v>
      </c>
      <c r="AA88" s="610">
        <f>-PV(InterestRate,AA$8,,(SUM(CW88:CZ88)))</f>
        <v>398022.3267742687</v>
      </c>
      <c r="AB88" s="611">
        <f>-PV(InterestRate,AB$8,,(SUM(DA88:DD88)))</f>
        <v>403904.43012561277</v>
      </c>
      <c r="AC88" s="160">
        <f>IF($C88&gt;0,(IF($C88=$AC$7,$D88,0)),0)</f>
        <v>0</v>
      </c>
      <c r="AD88" s="150">
        <f>IF($C88&gt;0,(IF($AC$7&gt;=$C88+1,$E88,0)),0)</f>
        <v>0</v>
      </c>
      <c r="AE88" s="150">
        <f>IF($C88&gt;0,(IF($C88=$AC$7,$F88,0)),0)</f>
        <v>0</v>
      </c>
      <c r="AF88" s="165">
        <f>IF($C88&gt;0,(IF($AC$7&gt;=$C88+1,$G88,0)),0)</f>
        <v>0</v>
      </c>
      <c r="AG88" s="168">
        <f>IF($C88&gt;0,(IF($C88=$AG$7,(-FV(InflationRate,$AG$7,,$D88)),0)),0)</f>
        <v>0</v>
      </c>
      <c r="AH88" s="149">
        <f>IF($C88&gt;0,(IF($AG$7&gt;=$C88+1, (-FV(InflationRate,$AG$7,,$E88)), 0)),0)</f>
        <v>0</v>
      </c>
      <c r="AI88" s="149">
        <f>IF($C88&gt;0,(IF($AG$7&gt;=$C88+1, (-FV(InflationRate,$AG$7,,$F88)), 0)),0)</f>
        <v>0</v>
      </c>
      <c r="AJ88" s="171">
        <f>IF($C88&gt;0,(IF($AG$7&gt;=$C88+1, (-FV(InflationRate,$AG$7,,$G88)), 0)),0)</f>
        <v>0</v>
      </c>
      <c r="AK88" s="160">
        <f>IF($C88&gt;0,(IF($C88=$AK$7,(-FV(InflationRate,$AK$7,,$D88)),0)),0)</f>
        <v>0</v>
      </c>
      <c r="AL88" s="150">
        <f>IF($C88&gt;0,(IF($AK$7&gt;=$C88+1, (-FV(InflationRate,$AK$7,,$E88)), 0)),0)</f>
        <v>0</v>
      </c>
      <c r="AM88" s="150">
        <f>IF($C88&gt;0,(IF($AK$7&gt;=$C88+1, (-FV(InflationRate,$AK$7,,$F88)), 0)),0)</f>
        <v>0</v>
      </c>
      <c r="AN88" s="165">
        <f>IF($C88&gt;0,(IF($AK$7&gt;=$C88+1, (-FV(InflationRate,$AK$7,,$G88)), 0)),0)</f>
        <v>0</v>
      </c>
      <c r="AO88" s="168">
        <f>IF($C88&gt;0,(IF($C88=$AO$7,(-FV(InflationRate,$AO$7,,$D88)),0)),0)</f>
        <v>0</v>
      </c>
      <c r="AP88" s="149">
        <f>IF($C88&gt;0,(IF($AO$7&gt;=$C88+1, (-FV(InflationRate,$AO$7,,$E88)), 0)),0)</f>
        <v>0</v>
      </c>
      <c r="AQ88" s="149">
        <f>IF($C88&gt;0,(IF($AO$7&gt;=$C88+1, (-FV(InflationRate,$AO$7,,$F88)), 0)),0)</f>
        <v>0</v>
      </c>
      <c r="AR88" s="157">
        <f>IF($C88&gt;0,(IF($AO$7&gt;=$C88+1, (-FV(InflationRate,$AO$7,,$G88)), 0)),0)</f>
        <v>0</v>
      </c>
      <c r="AS88" s="160">
        <f>IF($C88&gt;0,(IF($C88=$AS$7,(-FV(InflationRate,$AS$7,,$D88)),0)),0)</f>
        <v>0</v>
      </c>
      <c r="AT88" s="150">
        <f>IF($C88&gt;0,(IF($AS$7&gt;=$C88+1, (-FV(InflationRate,$AS$7,,$E88)), 0)),0)</f>
        <v>0</v>
      </c>
      <c r="AU88" s="150">
        <f>IF($C88&gt;0,(IF($AS$7&gt;=$C88+1, (-FV(InflationRate,$AS$7,,$F88)), 0)),0)</f>
        <v>0</v>
      </c>
      <c r="AV88" s="165">
        <f>IF($C88&gt;0,(IF($AS$7&gt;=$C88+1, (-FV(InflationRate,$AS$7,,$G88)), 0)),0)</f>
        <v>0</v>
      </c>
      <c r="AW88" s="168">
        <f>IF($C88&gt;0,(IF($C88=$AW$7,(-FV(InflationRate,$AW$7,,$D88)),0)),0)</f>
        <v>0</v>
      </c>
      <c r="AX88" s="149">
        <f>IF($C88&gt;0,(IF($AW$7&gt;=$C88+1, (-FV(InflationRate,$AW$7,,$E88)), 0)),0)</f>
        <v>0</v>
      </c>
      <c r="AY88" s="149">
        <f>IF($C88&gt;0,(IF($AW$7&gt;=$C88+1, (-FV(InflationRate,$AW$7,,$F88)), 0)),0)</f>
        <v>0</v>
      </c>
      <c r="AZ88" s="157">
        <f>IF($C88&gt;0,(IF($AW$7&gt;=$C88+1, (-FV(InflationRate,$AW$7,,$G88)), 0)),0)</f>
        <v>0</v>
      </c>
      <c r="BA88" s="160">
        <f>IF($C88&gt;0,(IF($C88=$BA$7,(-FV(InflationRate,$BA$7,,$D88)),0)),0)</f>
        <v>0</v>
      </c>
      <c r="BB88" s="150">
        <f>IF($C88&gt;0,(IF($BA$7&gt;=$C88+1, (-FV(InflationRate,$BA$7,,$E88)), 0)),0)</f>
        <v>0</v>
      </c>
      <c r="BC88" s="150">
        <f>IF($C88&gt;0,(IF($BA$7&gt;=$C88+1, (-FV(InflationRate,$BA$7,,$F88)), 0)),0)</f>
        <v>0</v>
      </c>
      <c r="BD88" s="176">
        <f>IF($C88&gt;0,(IF($BA$7&gt;=$C88+1, (-FV(InflationRate,$BA$7,,$G88)), 0)),0)</f>
        <v>0</v>
      </c>
      <c r="BE88" s="168">
        <f>IF($C88&gt;0,(IF($C88=$BE$7,(-FV(InflationRate,$BE$7,,$D88)),0)),0)</f>
        <v>9011675.681983361</v>
      </c>
      <c r="BF88" s="149">
        <f>IF($C88&gt;0,(IF($BE$7&gt;=$C88+1, (-FV(InflationRate,$BE$7,,$E88)), 0)),0)</f>
        <v>0</v>
      </c>
      <c r="BG88" s="149">
        <f>IF($C88&gt;0,(IF($BE$7&gt;=$C88+1, (-FV(InflationRate,$BE$7,,$F88)), 0)),0)</f>
        <v>0</v>
      </c>
      <c r="BH88" s="171">
        <f>IF($C88&gt;0,(IF($BE$7&gt;=$C88+1, (-FV(InflationRate,$BE$7,,$G88)), 0)),0)</f>
        <v>0</v>
      </c>
      <c r="BI88" s="160">
        <f>IF($C88&gt;0,(IF($C88=$BI$7,(-FV(InflationRate,$BI$7,,$D88)),0)),0)</f>
        <v>0</v>
      </c>
      <c r="BJ88" s="150">
        <f>IF($C88&gt;0,(IF($BI$7&gt;=$C88+1, (-FV(InflationRate,$BI$7,,$E88)), 0)),0)</f>
        <v>370947.01616265421</v>
      </c>
      <c r="BK88" s="150">
        <f>IF($C88&gt;0,(IF($BI$7&gt;=$C88+1, (-FV(InflationRate,$BI$7,,$F88)), 0)),0)</f>
        <v>0</v>
      </c>
      <c r="BL88" s="176">
        <f>IF($C88&gt;0,(IF($BI$7&gt;=$C88+1, (-FV(InflationRate,$BI$7,,$G88)), 0)),0)</f>
        <v>22050.666806714231</v>
      </c>
      <c r="BM88" s="168">
        <f>IF($C88&gt;0,(IF($C88=$BM$7,(-FV(InflationRate,$BM$7,,$D88)),0)),0)</f>
        <v>0</v>
      </c>
      <c r="BN88" s="149">
        <f>IF($C88&gt;0,(IF($BM$7&gt;=$C88+1, (-FV(InflationRate,$BM$7,,$E88)), 0)),0)</f>
        <v>382075.42664753384</v>
      </c>
      <c r="BO88" s="149">
        <f>IF($C88&gt;0,(IF($BM$7&gt;=$C88+1, (-FV(InflationRate,$BM$7,,$F88)), 0)),0)</f>
        <v>0</v>
      </c>
      <c r="BP88" s="157">
        <f>IF($C88&gt;0,(IF($BM$7&gt;=$C88+1, (-FV(InflationRate,$BM$7,,$G88)), 0)),0)</f>
        <v>22712.186810915657</v>
      </c>
      <c r="BQ88" s="160">
        <f>IF($C88&gt;0,(IF($C88=$BQ$7,(-FV(InflationRate,$BQ$7,,$D88)),0)),0)</f>
        <v>0</v>
      </c>
      <c r="BR88" s="150">
        <f>IF($C88&gt;0,(IF($BQ$7&gt;=$C88+1, (-FV(InflationRate,$BQ$7,,$E88)), 0)),0)</f>
        <v>393537.68944695988</v>
      </c>
      <c r="BS88" s="150">
        <f>IF($C88&gt;0,(IF($BQ$7&gt;=$C88+1, (-FV(InflationRate,$BQ$7,,$F88)), 0)),0)</f>
        <v>0</v>
      </c>
      <c r="BT88" s="176">
        <f>IF($C88&gt;0,(IF($BQ$7&gt;=$C88+1, (-FV(InflationRate,$BQ$7,,$G88)), 0)),0)</f>
        <v>23393.552415243128</v>
      </c>
      <c r="BU88" s="168">
        <f>IF($C88&gt;0,(IF($C88=$BU$7,(-FV(InflationRate,$BU$7,,$D88)),0)),0)</f>
        <v>0</v>
      </c>
      <c r="BV88" s="149">
        <f>IF($C88&gt;0,(IF($BU$7&gt;=$C88+1, (-FV(InflationRate,$BU$7,,$E88)), 0)),0)</f>
        <v>405343.82013036858</v>
      </c>
      <c r="BW88" s="149">
        <f>IF($C88&gt;0,(IF($BU$7&gt;=$C88+1, (-FV(InflationRate,$BU$7,,$F88)), 0)),0)</f>
        <v>0</v>
      </c>
      <c r="BX88" s="157">
        <f>IF($C88&gt;0,(IF($BU$7&gt;=$C88+1, (-FV(InflationRate,$BU$7,,$G88)), 0)),0)</f>
        <v>24095.35898770042</v>
      </c>
      <c r="BY88" s="160">
        <f>IF($C88&gt;0,(IF($C88=$BY$7,(-FV(InflationRate,$BY$7,,$D88)),0)),0)</f>
        <v>0</v>
      </c>
      <c r="BZ88" s="150">
        <f>IF($C88&gt;0,(IF($BY$7&gt;=$C88+1, (-FV(InflationRate,$BY$7,,$E88)), 0)),0)</f>
        <v>417504.13473427959</v>
      </c>
      <c r="CA88" s="150">
        <f>IF($C88&gt;0,(IF($BY$7&gt;=$C88+1, (-FV(InflationRate,$BY$7,,$F88)), 0)),0)</f>
        <v>0</v>
      </c>
      <c r="CB88" s="176">
        <f>IF($C88&gt;0,(IF($BY$7&gt;=$C88+1, (-FV(InflationRate,$BY$7,,$G88)), 0)),0)</f>
        <v>24818.21975733143</v>
      </c>
      <c r="CC88" s="168">
        <f>IF($C88&gt;0,(IF($C88=$CC$7,(-FV(InflationRate,$CC$7,,$D88)),0)),0)</f>
        <v>0</v>
      </c>
      <c r="CD88" s="149">
        <f>IF($C88&gt;0,(IF($CC$7&gt;=$C88+1, (-FV(InflationRate,$CC$7,,$E88)), 0)),0)</f>
        <v>430029.25877630804</v>
      </c>
      <c r="CE88" s="149">
        <f>IF($C88&gt;0,(IF($CC$7&gt;=$C88+1, (-FV(InflationRate,$CC$7,,$F88)), 0)),0)</f>
        <v>0</v>
      </c>
      <c r="CF88" s="157">
        <f>IF($C88&gt;0,(IF($CC$7&gt;=$C88+1, (-FV(InflationRate,$CC$7,,$G88)), 0)),0)</f>
        <v>25562.766350051377</v>
      </c>
      <c r="CG88" s="160">
        <f>IF($C88&gt;0,(IF($C88=$CG$7,(-FV(InflationRate,$CG$7,,$D88)),0)),0)</f>
        <v>0</v>
      </c>
      <c r="CH88" s="150">
        <f>IF($C88&gt;0,(IF($CG$7&gt;=$C88+1, (-FV(InflationRate,$CG$7,,$E88)), 0)),0)</f>
        <v>442930.13653959736</v>
      </c>
      <c r="CI88" s="150">
        <f>IF($C88&gt;0,(IF($CG$7&gt;=$C88+1, (-FV(InflationRate,$CG$7,,$F88)), 0)),0)</f>
        <v>0</v>
      </c>
      <c r="CJ88" s="176">
        <f>IF($C88&gt;0,(IF($CG$7&gt;=$C88+1, (-FV(InflationRate,$CG$7,,$G88)), 0)),0)</f>
        <v>26329.649340552918</v>
      </c>
      <c r="CK88" s="168">
        <f>IF($C88&gt;0,(IF($C88=$CK$7,(-FV(InflationRate,$CK$7,,$D88)),0)),0)</f>
        <v>0</v>
      </c>
      <c r="CL88" s="149">
        <f>IF($C88&gt;0,(IF($CK$7&gt;=$C88+1, (-FV(InflationRate,$CK$7,,$E88)), 0)),0)</f>
        <v>456218.04063578515</v>
      </c>
      <c r="CM88" s="149">
        <f>IF($C88&gt;0,(IF($CK$7&gt;=$C88+1, (-FV(InflationRate,$CK$7,,$F88)), 0)),0)</f>
        <v>0</v>
      </c>
      <c r="CN88" s="157">
        <f>IF($C88&gt;0,(IF($CK$7&gt;=$C88+1, (-FV(InflationRate,$CK$7,,$G88)), 0)),0)</f>
        <v>27119.538820769503</v>
      </c>
      <c r="CO88" s="160">
        <f>IF($C88&gt;0,(IF($C88=$CO$7,(-FV(InflationRate,$CO$7,,$D88)),0)),0)</f>
        <v>0</v>
      </c>
      <c r="CP88" s="150">
        <f>IF($C88&gt;0,(IF($CO$7&gt;=$C88+1, (-FV(InflationRate,$CO$7,,$E88)), 0)),0)</f>
        <v>469904.58185485873</v>
      </c>
      <c r="CQ88" s="150">
        <f>IF($C88&gt;0,(IF($CO$7&gt;=$C88+1, (-FV(InflationRate,$CO$7,,$F88)), 0)),0)</f>
        <v>0</v>
      </c>
      <c r="CR88" s="176">
        <f>IF($C88&gt;0,(IF($CO$7&gt;=$C88+1, (-FV(InflationRate,$CO$7,,$G88)), 0)),0)</f>
        <v>27933.124985392587</v>
      </c>
      <c r="CS88" s="168">
        <f>IF($C88&gt;0,(IF($C88=$CS$7,(-FV(InflationRate,$CS$7,,$D88)),0)),0)</f>
        <v>0</v>
      </c>
      <c r="CT88" s="149">
        <f>IF($C88&gt;0,(IF($CS$7&gt;=$C88+1, (-FV(InflationRate,$CS$7,,$E88)), 0)),0)</f>
        <v>484001.7193105045</v>
      </c>
      <c r="CU88" s="149">
        <f>IF($C88&gt;0,(IF($CS$7&gt;=$C88+1, (-FV(InflationRate,$CS$7,,$F88)), 0)),0)</f>
        <v>0</v>
      </c>
      <c r="CV88" s="157">
        <f>IF($C88&gt;0,(IF($CS$7&gt;=$C88+1, (-FV(InflationRate,$CS$7,,$G88)), 0)),0)</f>
        <v>28771.118734954365</v>
      </c>
      <c r="CW88" s="160">
        <f>IF($C88&gt;0,(IF($C88=$CW$7,(-FV(InflationRate,$CW$7,,$D88)),0)),0)</f>
        <v>0</v>
      </c>
      <c r="CX88" s="150">
        <f>IF($C88&gt;0,(IF($CW$7&gt;=$C88+1, (-FV(InflationRate,$CW$7,,$E88)), 0)),0)</f>
        <v>498521.7708898196</v>
      </c>
      <c r="CY88" s="150">
        <f>IF($C88&gt;0,(IF($CW$7&gt;=$C88+1, (-FV(InflationRate,$CW$7,,$F88)), 0)),0)</f>
        <v>0</v>
      </c>
      <c r="CZ88" s="176">
        <f>IF($C88&gt;0,(IF($CW$7&gt;=$C88+1, (-FV(InflationRate,$CW$7,,$G88)), 0)),0)</f>
        <v>29634.252297002993</v>
      </c>
      <c r="DA88" s="168">
        <f>IF($C88&gt;0,(IF($C88=$DA$7,(-FV(InflationRate,$DA$7,,$D88)),0)),0)</f>
        <v>0</v>
      </c>
      <c r="DB88" s="149">
        <f>IF($C88&gt;0,(IF($DA$7&gt;=$C88+1, (-FV(InflationRate,$DA$7,,$E88)), 0)),0)</f>
        <v>513477.42401651421</v>
      </c>
      <c r="DC88" s="149">
        <f>IF($C88&gt;0,(IF($DA$7&gt;=$C88+1, (-FV(InflationRate,$DA$7,,$F88)), 0)),0)</f>
        <v>0</v>
      </c>
      <c r="DD88" s="157">
        <f>IF($C88&gt;0,(IF($DA$7&gt;=$C88+1, (-FV(InflationRate,$DA$7,,$G88)), 0)),0)</f>
        <v>30523.279865913086</v>
      </c>
    </row>
    <row r="89" spans="2:108" ht="12.75" customHeight="1" x14ac:dyDescent="0.2">
      <c r="B89" s="183" t="s">
        <v>203</v>
      </c>
      <c r="C89" s="556">
        <v>8</v>
      </c>
      <c r="D89" s="168"/>
      <c r="E89" s="149"/>
      <c r="F89" s="558">
        <v>117500</v>
      </c>
      <c r="G89" s="149"/>
      <c r="H89" s="168">
        <f>SUM(I89:AB89)</f>
        <v>1746457.4849405386</v>
      </c>
      <c r="I89" s="610">
        <f>-PV(InterestRate,I$8,,(SUM(AC89:AF89)))</f>
        <v>0</v>
      </c>
      <c r="J89" s="610">
        <f>-PV(InterestRate,J$8,,(SUM(AG89:AJ89)))</f>
        <v>0</v>
      </c>
      <c r="K89" s="610">
        <f>-PV(InterestRate,K$8,,(SUM(AK89:AN89)))</f>
        <v>0</v>
      </c>
      <c r="L89" s="610">
        <f>-PV(InterestRate,L$8,,(SUM(AO89:AR89)))</f>
        <v>0</v>
      </c>
      <c r="M89" s="610">
        <f>-PV(InterestRate,M$8,,(SUM(AS89:AV89)))</f>
        <v>0</v>
      </c>
      <c r="N89" s="610">
        <f>-PV(InterestRate,N$8,,(SUM(AW89:AZ89)))</f>
        <v>0</v>
      </c>
      <c r="O89" s="610">
        <f>-PV(InterestRate,O$8,,(SUM(BA89:BD89)))</f>
        <v>0</v>
      </c>
      <c r="P89" s="610">
        <f>-PV(InterestRate,P$8,,(SUM(BE89:BH89)))</f>
        <v>0</v>
      </c>
      <c r="Q89" s="610">
        <f>-PV(InterestRate,Q$8,,(SUM(BI89:BL89)))</f>
        <v>134084.47896097341</v>
      </c>
      <c r="R89" s="610">
        <f>-PV(InterestRate,R$8,,(SUM(BM89:BP89)))</f>
        <v>136066.0229850272</v>
      </c>
      <c r="S89" s="610">
        <f>-PV(InterestRate,S$8,,(SUM(BQ89:BT89)))</f>
        <v>138076.85091091433</v>
      </c>
      <c r="T89" s="610">
        <f>-PV(InterestRate,T$8,,(SUM(BU89:BX89)))</f>
        <v>140117.39550565692</v>
      </c>
      <c r="U89" s="610">
        <f>-PV(InterestRate,U$8,,(SUM(BY89:CB89)))</f>
        <v>142188.09593184889</v>
      </c>
      <c r="V89" s="610">
        <f>-PV(InterestRate,V$8,,(SUM(CC89:CF89)))</f>
        <v>144289.39784217183</v>
      </c>
      <c r="W89" s="610">
        <f>-PV(InterestRate,W$8,,(SUM(CG89:CJ89)))</f>
        <v>146421.7534753074</v>
      </c>
      <c r="X89" s="610">
        <f>-PV(InterestRate,X$8,,(SUM(CK89:CN89)))</f>
        <v>148585.62175326762</v>
      </c>
      <c r="Y89" s="610">
        <f>-PV(InterestRate,Y$8,,(SUM(CO89:CR89)))</f>
        <v>150781.46838016322</v>
      </c>
      <c r="Z89" s="610">
        <f>-PV(InterestRate,Z$8,,(SUM(CS89:CV89)))</f>
        <v>153009.76594243167</v>
      </c>
      <c r="AA89" s="610">
        <f>-PV(InterestRate,AA$8,,(SUM(CW89:CZ89)))</f>
        <v>155270.99401054642</v>
      </c>
      <c r="AB89" s="611">
        <f>-PV(InterestRate,AB$8,,(SUM(DA89:DD89)))</f>
        <v>157565.63924222943</v>
      </c>
      <c r="AC89" s="160">
        <f>IF($C89&gt;0,(IF($C89=$AC$7,$D89,0)),0)</f>
        <v>0</v>
      </c>
      <c r="AD89" s="150">
        <f>IF($C89&gt;0,(IF($AC$7&gt;=$C89+1,$E89,0)),0)</f>
        <v>0</v>
      </c>
      <c r="AE89" s="150">
        <f>IF($C89&gt;0,(IF($C89=$AC$7,$F89,0)),0)</f>
        <v>0</v>
      </c>
      <c r="AF89" s="165">
        <f>IF($C89&gt;0,(IF($AC$7&gt;=$C89+1,$G89,0)),0)</f>
        <v>0</v>
      </c>
      <c r="AG89" s="168">
        <f>IF($C89&gt;0,(IF($C89=$AG$7,(-FV(InflationRate,$AG$7,,$D89)),0)),0)</f>
        <v>0</v>
      </c>
      <c r="AH89" s="149">
        <f>IF($C89&gt;0,(IF($AG$7&gt;=$C89+1, (-FV(InflationRate,$AG$7,,$E89)), 0)),0)</f>
        <v>0</v>
      </c>
      <c r="AI89" s="149">
        <f>IF($C89&gt;0,(IF($AG$7&gt;=$C89+1, (-FV(InflationRate,$AG$7,,$F89)), 0)),0)</f>
        <v>0</v>
      </c>
      <c r="AJ89" s="171">
        <f>IF($C89&gt;0,(IF($AG$7&gt;=$C89+1, (-FV(InflationRate,$AG$7,,$G89)), 0)),0)</f>
        <v>0</v>
      </c>
      <c r="AK89" s="160">
        <f>IF($C89&gt;0,(IF($C89=$AK$7,(-FV(InflationRate,$AK$7,,$D89)),0)),0)</f>
        <v>0</v>
      </c>
      <c r="AL89" s="150">
        <f>IF($C89&gt;0,(IF($AK$7&gt;=$C89+1, (-FV(InflationRate,$AK$7,,$E89)), 0)),0)</f>
        <v>0</v>
      </c>
      <c r="AM89" s="150">
        <f>IF($C89&gt;0,(IF($AK$7&gt;=$C89+1, (-FV(InflationRate,$AK$7,,$F89)), 0)),0)</f>
        <v>0</v>
      </c>
      <c r="AN89" s="165">
        <f>IF($C89&gt;0,(IF($AK$7&gt;=$C89+1, (-FV(InflationRate,$AK$7,,$G89)), 0)),0)</f>
        <v>0</v>
      </c>
      <c r="AO89" s="168">
        <f>IF($C89&gt;0,(IF($C89=$AO$7,(-FV(InflationRate,$AO$7,,$D89)),0)),0)</f>
        <v>0</v>
      </c>
      <c r="AP89" s="149">
        <f>IF($C89&gt;0,(IF($AO$7&gt;=$C89+1, (-FV(InflationRate,$AO$7,,$E89)), 0)),0)</f>
        <v>0</v>
      </c>
      <c r="AQ89" s="149">
        <f>IF($C89&gt;0,(IF($AO$7&gt;=$C89+1, (-FV(InflationRate,$AO$7,,$F89)), 0)),0)</f>
        <v>0</v>
      </c>
      <c r="AR89" s="157">
        <f>IF($C89&gt;0,(IF($AO$7&gt;=$C89+1, (-FV(InflationRate,$AO$7,,$G89)), 0)),0)</f>
        <v>0</v>
      </c>
      <c r="AS89" s="160">
        <f>IF($C89&gt;0,(IF($C89=$AS$7,(-FV(InflationRate,$AS$7,,$D89)),0)),0)</f>
        <v>0</v>
      </c>
      <c r="AT89" s="150">
        <f>IF($C89&gt;0,(IF($AS$7&gt;=$C89+1, (-FV(InflationRate,$AS$7,,$E89)), 0)),0)</f>
        <v>0</v>
      </c>
      <c r="AU89" s="150">
        <f>IF($C89&gt;0,(IF($AS$7&gt;=$C89+1, (-FV(InflationRate,$AS$7,,$F89)), 0)),0)</f>
        <v>0</v>
      </c>
      <c r="AV89" s="165">
        <f>IF($C89&gt;0,(IF($AS$7&gt;=$C89+1, (-FV(InflationRate,$AS$7,,$G89)), 0)),0)</f>
        <v>0</v>
      </c>
      <c r="AW89" s="168">
        <f>IF($C89&gt;0,(IF($C89=$AW$7,(-FV(InflationRate,$AW$7,,$D89)),0)),0)</f>
        <v>0</v>
      </c>
      <c r="AX89" s="149">
        <f>IF($C89&gt;0,(IF($AW$7&gt;=$C89+1, (-FV(InflationRate,$AW$7,,$E89)), 0)),0)</f>
        <v>0</v>
      </c>
      <c r="AY89" s="149">
        <f>IF($C89&gt;0,(IF($AW$7&gt;=$C89+1, (-FV(InflationRate,$AW$7,,$F89)), 0)),0)</f>
        <v>0</v>
      </c>
      <c r="AZ89" s="157">
        <f>IF($C89&gt;0,(IF($AW$7&gt;=$C89+1, (-FV(InflationRate,$AW$7,,$G89)), 0)),0)</f>
        <v>0</v>
      </c>
      <c r="BA89" s="160">
        <f>IF($C89&gt;0,(IF($C89=$BA$7,(-FV(InflationRate,$BA$7,,$D89)),0)),0)</f>
        <v>0</v>
      </c>
      <c r="BB89" s="150">
        <f>IF($C89&gt;0,(IF($BA$7&gt;=$C89+1, (-FV(InflationRate,$BA$7,,$E89)), 0)),0)</f>
        <v>0</v>
      </c>
      <c r="BC89" s="150">
        <f>IF($C89&gt;0,(IF($BA$7&gt;=$C89+1, (-FV(InflationRate,$BA$7,,$F89)), 0)),0)</f>
        <v>0</v>
      </c>
      <c r="BD89" s="176">
        <f>IF($C89&gt;0,(IF($BA$7&gt;=$C89+1, (-FV(InflationRate,$BA$7,,$G89)), 0)),0)</f>
        <v>0</v>
      </c>
      <c r="BE89" s="168">
        <f>IF($C89&gt;0,(IF($C89=$BE$7,(-FV(InflationRate,$BE$7,,$D89)),0)),0)</f>
        <v>0</v>
      </c>
      <c r="BF89" s="149">
        <f>IF($C89&gt;0,(IF($BE$7&gt;=$C89+1, (-FV(InflationRate,$BE$7,,$E89)), 0)),0)</f>
        <v>0</v>
      </c>
      <c r="BG89" s="149">
        <f>IF($C89&gt;0,(IF($BE$7&gt;=$C89+1, (-FV(InflationRate,$BE$7,,$F89)), 0)),0)</f>
        <v>0</v>
      </c>
      <c r="BH89" s="171">
        <f>IF($C89&gt;0,(IF($BE$7&gt;=$C89+1, (-FV(InflationRate,$BE$7,,$G89)), 0)),0)</f>
        <v>0</v>
      </c>
      <c r="BI89" s="160">
        <f>IF($C89&gt;0,(IF($C89=$BI$7,(-FV(InflationRate,$BI$7,,$D89)),0)),0)</f>
        <v>0</v>
      </c>
      <c r="BJ89" s="150">
        <f>IF($C89&gt;0,(IF($BI$7&gt;=$C89+1, (-FV(InflationRate,$BI$7,,$E89)), 0)),0)</f>
        <v>0</v>
      </c>
      <c r="BK89" s="150">
        <f>IF($C89&gt;0,(IF($BI$7&gt;=$C89+1, (-FV(InflationRate,$BI$7,,$F89)), 0)),0)</f>
        <v>153310.84909993623</v>
      </c>
      <c r="BL89" s="176">
        <f>IF($C89&gt;0,(IF($BI$7&gt;=$C89+1, (-FV(InflationRate,$BI$7,,$G89)), 0)),0)</f>
        <v>0</v>
      </c>
      <c r="BM89" s="168">
        <f>IF($C89&gt;0,(IF($C89=$BM$7,(-FV(InflationRate,$BM$7,,$D89)),0)),0)</f>
        <v>0</v>
      </c>
      <c r="BN89" s="149">
        <f>IF($C89&gt;0,(IF($BM$7&gt;=$C89+1, (-FV(InflationRate,$BM$7,,$E89)), 0)),0)</f>
        <v>0</v>
      </c>
      <c r="BO89" s="149">
        <f>IF($C89&gt;0,(IF($BM$7&gt;=$C89+1, (-FV(InflationRate,$BM$7,,$F89)), 0)),0)</f>
        <v>157910.17457293431</v>
      </c>
      <c r="BP89" s="157">
        <f>IF($C89&gt;0,(IF($BM$7&gt;=$C89+1, (-FV(InflationRate,$BM$7,,$G89)), 0)),0)</f>
        <v>0</v>
      </c>
      <c r="BQ89" s="160">
        <f>IF($C89&gt;0,(IF($C89=$BQ$7,(-FV(InflationRate,$BQ$7,,$D89)),0)),0)</f>
        <v>0</v>
      </c>
      <c r="BR89" s="150">
        <f>IF($C89&gt;0,(IF($BQ$7&gt;=$C89+1, (-FV(InflationRate,$BQ$7,,$E89)), 0)),0)</f>
        <v>0</v>
      </c>
      <c r="BS89" s="150">
        <f>IF($C89&gt;0,(IF($BQ$7&gt;=$C89+1, (-FV(InflationRate,$BQ$7,,$F89)), 0)),0)</f>
        <v>162647.47981012234</v>
      </c>
      <c r="BT89" s="176">
        <f>IF($C89&gt;0,(IF($BQ$7&gt;=$C89+1, (-FV(InflationRate,$BQ$7,,$G89)), 0)),0)</f>
        <v>0</v>
      </c>
      <c r="BU89" s="168">
        <f>IF($C89&gt;0,(IF($C89=$BU$7,(-FV(InflationRate,$BU$7,,$D89)),0)),0)</f>
        <v>0</v>
      </c>
      <c r="BV89" s="149">
        <f>IF($C89&gt;0,(IF($BU$7&gt;=$C89+1, (-FV(InflationRate,$BU$7,,$E89)), 0)),0)</f>
        <v>0</v>
      </c>
      <c r="BW89" s="149">
        <f>IF($C89&gt;0,(IF($BU$7&gt;=$C89+1, (-FV(InflationRate,$BU$7,,$F89)), 0)),0)</f>
        <v>167526.90420442598</v>
      </c>
      <c r="BX89" s="157">
        <f>IF($C89&gt;0,(IF($BU$7&gt;=$C89+1, (-FV(InflationRate,$BU$7,,$G89)), 0)),0)</f>
        <v>0</v>
      </c>
      <c r="BY89" s="160">
        <f>IF($C89&gt;0,(IF($C89=$BY$7,(-FV(InflationRate,$BY$7,,$D89)),0)),0)</f>
        <v>0</v>
      </c>
      <c r="BZ89" s="150">
        <f>IF($C89&gt;0,(IF($BY$7&gt;=$C89+1, (-FV(InflationRate,$BY$7,,$E89)), 0)),0)</f>
        <v>0</v>
      </c>
      <c r="CA89" s="150">
        <f>IF($C89&gt;0,(IF($BY$7&gt;=$C89+1, (-FV(InflationRate,$BY$7,,$F89)), 0)),0)</f>
        <v>172552.71133055876</v>
      </c>
      <c r="CB89" s="176">
        <f>IF($C89&gt;0,(IF($BY$7&gt;=$C89+1, (-FV(InflationRate,$BY$7,,$G89)), 0)),0)</f>
        <v>0</v>
      </c>
      <c r="CC89" s="168">
        <f>IF($C89&gt;0,(IF($C89=$CC$7,(-FV(InflationRate,$CC$7,,$D89)),0)),0)</f>
        <v>0</v>
      </c>
      <c r="CD89" s="149">
        <f>IF($C89&gt;0,(IF($CC$7&gt;=$C89+1, (-FV(InflationRate,$CC$7,,$E89)), 0)),0)</f>
        <v>0</v>
      </c>
      <c r="CE89" s="149">
        <f>IF($C89&gt;0,(IF($CC$7&gt;=$C89+1, (-FV(InflationRate,$CC$7,,$F89)), 0)),0)</f>
        <v>177729.29267047555</v>
      </c>
      <c r="CF89" s="157">
        <f>IF($C89&gt;0,(IF($CC$7&gt;=$C89+1, (-FV(InflationRate,$CC$7,,$G89)), 0)),0)</f>
        <v>0</v>
      </c>
      <c r="CG89" s="160">
        <f>IF($C89&gt;0,(IF($C89=$CG$7,(-FV(InflationRate,$CG$7,,$D89)),0)),0)</f>
        <v>0</v>
      </c>
      <c r="CH89" s="150">
        <f>IF($C89&gt;0,(IF($CG$7&gt;=$C89+1, (-FV(InflationRate,$CG$7,,$E89)), 0)),0)</f>
        <v>0</v>
      </c>
      <c r="CI89" s="150">
        <f>IF($C89&gt;0,(IF($CG$7&gt;=$C89+1, (-FV(InflationRate,$CG$7,,$F89)), 0)),0)</f>
        <v>183061.17145058981</v>
      </c>
      <c r="CJ89" s="176">
        <f>IF($C89&gt;0,(IF($CG$7&gt;=$C89+1, (-FV(InflationRate,$CG$7,,$G89)), 0)),0)</f>
        <v>0</v>
      </c>
      <c r="CK89" s="168">
        <f>IF($C89&gt;0,(IF($C89=$CK$7,(-FV(InflationRate,$CK$7,,$D89)),0)),0)</f>
        <v>0</v>
      </c>
      <c r="CL89" s="149">
        <f>IF($C89&gt;0,(IF($CK$7&gt;=$C89+1, (-FV(InflationRate,$CK$7,,$E89)), 0)),0)</f>
        <v>0</v>
      </c>
      <c r="CM89" s="149">
        <f>IF($C89&gt;0,(IF($CK$7&gt;=$C89+1, (-FV(InflationRate,$CK$7,,$F89)), 0)),0)</f>
        <v>188553.00659410749</v>
      </c>
      <c r="CN89" s="157">
        <f>IF($C89&gt;0,(IF($CK$7&gt;=$C89+1, (-FV(InflationRate,$CK$7,,$G89)), 0)),0)</f>
        <v>0</v>
      </c>
      <c r="CO89" s="160">
        <f>IF($C89&gt;0,(IF($C89=$CO$7,(-FV(InflationRate,$CO$7,,$D89)),0)),0)</f>
        <v>0</v>
      </c>
      <c r="CP89" s="150">
        <f>IF($C89&gt;0,(IF($CO$7&gt;=$C89+1, (-FV(InflationRate,$CO$7,,$E89)), 0)),0)</f>
        <v>0</v>
      </c>
      <c r="CQ89" s="150">
        <f>IF($C89&gt;0,(IF($CO$7&gt;=$C89+1, (-FV(InflationRate,$CO$7,,$F89)), 0)),0)</f>
        <v>194209.5967919307</v>
      </c>
      <c r="CR89" s="176">
        <f>IF($C89&gt;0,(IF($CO$7&gt;=$C89+1, (-FV(InflationRate,$CO$7,,$G89)), 0)),0)</f>
        <v>0</v>
      </c>
      <c r="CS89" s="168">
        <f>IF($C89&gt;0,(IF($C89=$CS$7,(-FV(InflationRate,$CS$7,,$D89)),0)),0)</f>
        <v>0</v>
      </c>
      <c r="CT89" s="149">
        <f>IF($C89&gt;0,(IF($CS$7&gt;=$C89+1, (-FV(InflationRate,$CS$7,,$E89)), 0)),0)</f>
        <v>0</v>
      </c>
      <c r="CU89" s="149">
        <f>IF($C89&gt;0,(IF($CS$7&gt;=$C89+1, (-FV(InflationRate,$CS$7,,$F89)), 0)),0)</f>
        <v>200035.88469568864</v>
      </c>
      <c r="CV89" s="157">
        <f>IF($C89&gt;0,(IF($CS$7&gt;=$C89+1, (-FV(InflationRate,$CS$7,,$G89)), 0)),0)</f>
        <v>0</v>
      </c>
      <c r="CW89" s="160">
        <f>IF($C89&gt;0,(IF($C89=$CW$7,(-FV(InflationRate,$CW$7,,$D89)),0)),0)</f>
        <v>0</v>
      </c>
      <c r="CX89" s="150">
        <f>IF($C89&gt;0,(IF($CW$7&gt;=$C89+1, (-FV(InflationRate,$CW$7,,$E89)), 0)),0)</f>
        <v>0</v>
      </c>
      <c r="CY89" s="150">
        <f>IF($C89&gt;0,(IF($CW$7&gt;=$C89+1, (-FV(InflationRate,$CW$7,,$F89)), 0)),0)</f>
        <v>206036.96123655929</v>
      </c>
      <c r="CZ89" s="176">
        <f>IF($C89&gt;0,(IF($CW$7&gt;=$C89+1, (-FV(InflationRate,$CW$7,,$G89)), 0)),0)</f>
        <v>0</v>
      </c>
      <c r="DA89" s="168">
        <f>IF($C89&gt;0,(IF($C89=$DA$7,(-FV(InflationRate,$DA$7,,$D89)),0)),0)</f>
        <v>0</v>
      </c>
      <c r="DB89" s="149">
        <f>IF($C89&gt;0,(IF($DA$7&gt;=$C89+1, (-FV(InflationRate,$DA$7,,$E89)), 0)),0)</f>
        <v>0</v>
      </c>
      <c r="DC89" s="149">
        <f>IF($C89&gt;0,(IF($DA$7&gt;=$C89+1, (-FV(InflationRate,$DA$7,,$F89)), 0)),0)</f>
        <v>212218.07007365607</v>
      </c>
      <c r="DD89" s="157">
        <f>IF($C89&gt;0,(IF($DA$7&gt;=$C89+1, (-FV(InflationRate,$DA$7,,$G89)), 0)),0)</f>
        <v>0</v>
      </c>
    </row>
    <row r="90" spans="2:108" ht="12.75" hidden="1" customHeight="1" x14ac:dyDescent="0.2">
      <c r="B90" s="182" t="s">
        <v>216</v>
      </c>
      <c r="C90" s="189"/>
      <c r="D90" s="168"/>
      <c r="E90" s="149"/>
      <c r="F90" s="149"/>
      <c r="G90" s="149"/>
      <c r="H90" s="168"/>
      <c r="I90" s="600"/>
      <c r="J90" s="600"/>
      <c r="K90" s="600"/>
      <c r="L90" s="600"/>
      <c r="M90" s="600"/>
      <c r="N90" s="600"/>
      <c r="O90" s="600"/>
      <c r="P90" s="600"/>
      <c r="Q90" s="600"/>
      <c r="R90" s="600"/>
      <c r="S90" s="600"/>
      <c r="T90" s="600"/>
      <c r="U90" s="600"/>
      <c r="V90" s="600"/>
      <c r="W90" s="600"/>
      <c r="X90" s="600"/>
      <c r="Y90" s="600"/>
      <c r="Z90" s="600"/>
      <c r="AA90" s="600"/>
      <c r="AB90" s="601"/>
      <c r="AC90" s="160"/>
      <c r="AD90" s="150"/>
      <c r="AE90" s="150"/>
      <c r="AF90" s="165"/>
      <c r="AG90" s="168"/>
      <c r="AH90" s="149"/>
      <c r="AI90" s="149"/>
      <c r="AJ90" s="171"/>
      <c r="AK90" s="160"/>
      <c r="AL90" s="150"/>
      <c r="AM90" s="150"/>
      <c r="AN90" s="165"/>
      <c r="AO90" s="168"/>
      <c r="AP90" s="149"/>
      <c r="AQ90" s="149"/>
      <c r="AR90" s="157"/>
      <c r="AS90" s="160"/>
      <c r="AT90" s="150"/>
      <c r="AU90" s="150"/>
      <c r="AV90" s="165"/>
      <c r="AW90" s="168"/>
      <c r="AX90" s="149"/>
      <c r="AY90" s="149"/>
      <c r="AZ90" s="157"/>
      <c r="BA90" s="160"/>
      <c r="BB90" s="150"/>
      <c r="BC90" s="150"/>
      <c r="BD90" s="176"/>
      <c r="BE90" s="168"/>
      <c r="BF90" s="149"/>
      <c r="BG90" s="149"/>
      <c r="BH90" s="171"/>
      <c r="BI90" s="160"/>
      <c r="BJ90" s="150"/>
      <c r="BK90" s="150"/>
      <c r="BL90" s="176"/>
      <c r="BM90" s="168"/>
      <c r="BN90" s="149"/>
      <c r="BO90" s="149"/>
      <c r="BP90" s="157"/>
      <c r="BQ90" s="160"/>
      <c r="BR90" s="150"/>
      <c r="BS90" s="150"/>
      <c r="BT90" s="176"/>
      <c r="BU90" s="168"/>
      <c r="BV90" s="149"/>
      <c r="BW90" s="149"/>
      <c r="BX90" s="157"/>
      <c r="BY90" s="160"/>
      <c r="BZ90" s="150"/>
      <c r="CA90" s="150"/>
      <c r="CB90" s="176"/>
      <c r="CC90" s="168"/>
      <c r="CD90" s="149"/>
      <c r="CE90" s="149"/>
      <c r="CF90" s="157"/>
      <c r="CG90" s="160"/>
      <c r="CH90" s="150"/>
      <c r="CI90" s="150"/>
      <c r="CJ90" s="176"/>
      <c r="CK90" s="168"/>
      <c r="CL90" s="149"/>
      <c r="CM90" s="149"/>
      <c r="CN90" s="157"/>
      <c r="CO90" s="160"/>
      <c r="CP90" s="150"/>
      <c r="CQ90" s="150"/>
      <c r="CR90" s="176"/>
      <c r="CS90" s="168"/>
      <c r="CT90" s="149"/>
      <c r="CU90" s="149"/>
      <c r="CV90" s="157"/>
      <c r="CW90" s="160"/>
      <c r="CX90" s="150"/>
      <c r="CY90" s="150"/>
      <c r="CZ90" s="176"/>
      <c r="DA90" s="168"/>
      <c r="DB90" s="149"/>
      <c r="DC90" s="149"/>
      <c r="DD90" s="157"/>
    </row>
    <row r="91" spans="2:108" ht="12.75" hidden="1" customHeight="1" x14ac:dyDescent="0.2">
      <c r="B91" s="183" t="s">
        <v>220</v>
      </c>
      <c r="C91" s="556"/>
      <c r="D91" s="557">
        <v>0</v>
      </c>
      <c r="E91" s="149"/>
      <c r="F91" s="149"/>
      <c r="G91" s="149"/>
      <c r="H91" s="168">
        <f>SUM(I91:AB91)</f>
        <v>0</v>
      </c>
      <c r="I91" s="610">
        <f>-PV(InterestRate,I$8,,(SUM(AC91:AF91)))</f>
        <v>0</v>
      </c>
      <c r="J91" s="610">
        <f>-PV(InterestRate,J$8,,(SUM(AG91:AJ91)))</f>
        <v>0</v>
      </c>
      <c r="K91" s="610">
        <f>-PV(InterestRate,K$8,,(SUM(AK91:AN91)))</f>
        <v>0</v>
      </c>
      <c r="L91" s="610">
        <f>-PV(InterestRate,L$8,,(SUM(AO91:AR91)))</f>
        <v>0</v>
      </c>
      <c r="M91" s="610">
        <f>-PV(InterestRate,M$8,,(SUM(AS91:AV91)))</f>
        <v>0</v>
      </c>
      <c r="N91" s="610">
        <f>-PV(InterestRate,N$8,,(SUM(AW91:AZ91)))</f>
        <v>0</v>
      </c>
      <c r="O91" s="610">
        <f>-PV(InterestRate,O$8,,(SUM(BA91:BD91)))</f>
        <v>0</v>
      </c>
      <c r="P91" s="610">
        <f>-PV(InterestRate,P$8,,(SUM(BE91:BH91)))</f>
        <v>0</v>
      </c>
      <c r="Q91" s="610">
        <f>-PV(InterestRate,Q$8,,(SUM(BI91:BL91)))</f>
        <v>0</v>
      </c>
      <c r="R91" s="610">
        <f>-PV(InterestRate,R$8,,(SUM(BM91:BP91)))</f>
        <v>0</v>
      </c>
      <c r="S91" s="610">
        <f>-PV(InterestRate,S$8,,(SUM(BQ91:BT91)))</f>
        <v>0</v>
      </c>
      <c r="T91" s="610">
        <f>-PV(InterestRate,T$8,,(SUM(BU91:BX91)))</f>
        <v>0</v>
      </c>
      <c r="U91" s="610">
        <f>-PV(InterestRate,U$8,,(SUM(BY91:CB91)))</f>
        <v>0</v>
      </c>
      <c r="V91" s="610">
        <f>-PV(InterestRate,V$8,,(SUM(CC91:CF91)))</f>
        <v>0</v>
      </c>
      <c r="W91" s="610">
        <f>-PV(InterestRate,W$8,,(SUM(CG91:CJ91)))</f>
        <v>0</v>
      </c>
      <c r="X91" s="610">
        <f>-PV(InterestRate,X$8,,(SUM(CK91:CN91)))</f>
        <v>0</v>
      </c>
      <c r="Y91" s="610">
        <f>-PV(InterestRate,Y$8,,(SUM(CO91:CR91)))</f>
        <v>0</v>
      </c>
      <c r="Z91" s="610">
        <f>-PV(InterestRate,Z$8,,(SUM(CS91:CV91)))</f>
        <v>0</v>
      </c>
      <c r="AA91" s="610">
        <f>-PV(InterestRate,AA$8,,(SUM(CW91:CZ91)))</f>
        <v>0</v>
      </c>
      <c r="AB91" s="611">
        <f>-PV(InterestRate,AB$8,,(SUM(DA91:DD91)))</f>
        <v>0</v>
      </c>
      <c r="AC91" s="160">
        <f>IF($C91&gt;0,(IF($C91=$AC$7,$D91,0)),0)</f>
        <v>0</v>
      </c>
      <c r="AD91" s="150">
        <f>IF($C91&gt;0,(IF($AC$7&gt;=$C91+1,$E91,0)),0)</f>
        <v>0</v>
      </c>
      <c r="AE91" s="150">
        <f>IF($C91&gt;0,(IF($C91=$AC$7,$F91,0)),0)</f>
        <v>0</v>
      </c>
      <c r="AF91" s="165">
        <f>IF($C91&gt;0,(IF($AC$7&gt;=$C91+1,$G91,0)),0)</f>
        <v>0</v>
      </c>
      <c r="AG91" s="168">
        <f>IF($C91&gt;0,(IF($C91=$AG$7,(-FV(InflationRate,$AG$7,,$D91)),0)),0)</f>
        <v>0</v>
      </c>
      <c r="AH91" s="149">
        <f>IF($C91&gt;0,(IF($AG$7&gt;=$C91+1, (-FV(InflationRate,$AG$7,,$E91)), 0)),0)</f>
        <v>0</v>
      </c>
      <c r="AI91" s="149">
        <f>IF($C91&gt;0,(IF($AG$7&gt;=$C91+1, (-FV(InflationRate,$AG$7,,$F91)), 0)),0)</f>
        <v>0</v>
      </c>
      <c r="AJ91" s="171">
        <f>IF($C91&gt;0,(IF($AG$7&gt;=$C91+1, (-FV(InflationRate,$AG$7,,$G91)), 0)),0)</f>
        <v>0</v>
      </c>
      <c r="AK91" s="160">
        <f>IF($C91&gt;0,(IF($C91=$AK$7,(-FV(InflationRate,$AK$7,,$D91)),0)),0)</f>
        <v>0</v>
      </c>
      <c r="AL91" s="150">
        <f>IF($C91&gt;0,(IF($AK$7&gt;=$C91+1, (-FV(InflationRate,$AK$7,,$E91)), 0)),0)</f>
        <v>0</v>
      </c>
      <c r="AM91" s="150">
        <f>IF($C91&gt;0,(IF($AK$7&gt;=$C91+1, (-FV(InflationRate,$AK$7,,$F91)), 0)),0)</f>
        <v>0</v>
      </c>
      <c r="AN91" s="165">
        <f>IF($C91&gt;0,(IF($AK$7&gt;=$C91+1, (-FV(InflationRate,$AK$7,,$G91)), 0)),0)</f>
        <v>0</v>
      </c>
      <c r="AO91" s="168">
        <f>IF($C91&gt;0,(IF($C91=$AO$7,(-FV(InflationRate,$AO$7,,$D91)),0)),0)</f>
        <v>0</v>
      </c>
      <c r="AP91" s="149">
        <f>IF($C91&gt;0,(IF($AO$7&gt;=$C91+1, (-FV(InflationRate,$AO$7,,$E91)), 0)),0)</f>
        <v>0</v>
      </c>
      <c r="AQ91" s="149">
        <f>IF($C91&gt;0,(IF($AO$7&gt;=$C91+1, (-FV(InflationRate,$AO$7,,$F91)), 0)),0)</f>
        <v>0</v>
      </c>
      <c r="AR91" s="157">
        <f>IF($C91&gt;0,(IF($AO$7&gt;=$C91+1, (-FV(InflationRate,$AO$7,,$G91)), 0)),0)</f>
        <v>0</v>
      </c>
      <c r="AS91" s="160">
        <f>IF($C91&gt;0,(IF($C91=$AS$7,(-FV(InflationRate,$AS$7,,$D91)),0)),0)</f>
        <v>0</v>
      </c>
      <c r="AT91" s="150">
        <f>IF($C91&gt;0,(IF($AS$7&gt;=$C91+1, (-FV(InflationRate,$AS$7,,$E91)), 0)),0)</f>
        <v>0</v>
      </c>
      <c r="AU91" s="150">
        <f>IF($C91&gt;0,(IF($AS$7&gt;=$C91+1, (-FV(InflationRate,$AS$7,,$F91)), 0)),0)</f>
        <v>0</v>
      </c>
      <c r="AV91" s="165">
        <f>IF($C91&gt;0,(IF($AS$7&gt;=$C91+1, (-FV(InflationRate,$AS$7,,$G91)), 0)),0)</f>
        <v>0</v>
      </c>
      <c r="AW91" s="168">
        <f>IF($C91&gt;0,(IF($C91=$AW$7,(-FV(InflationRate,$AW$7,,$D91)),0)),0)</f>
        <v>0</v>
      </c>
      <c r="AX91" s="149">
        <f>IF($C91&gt;0,(IF($AW$7&gt;=$C91+1, (-FV(InflationRate,$AW$7,,$E91)), 0)),0)</f>
        <v>0</v>
      </c>
      <c r="AY91" s="149">
        <f>IF($C91&gt;0,(IF($AW$7&gt;=$C91+1, (-FV(InflationRate,$AW$7,,$F91)), 0)),0)</f>
        <v>0</v>
      </c>
      <c r="AZ91" s="157">
        <f>IF($C91&gt;0,(IF($AW$7&gt;=$C91+1, (-FV(InflationRate,$AW$7,,$G91)), 0)),0)</f>
        <v>0</v>
      </c>
      <c r="BA91" s="160">
        <f>IF($C91&gt;0,(IF($C91=$BA$7,(-FV(InflationRate,$BA$7,,$D91)),0)),0)</f>
        <v>0</v>
      </c>
      <c r="BB91" s="150">
        <f>IF($C91&gt;0,(IF($BA$7&gt;=$C91+1, (-FV(InflationRate,$BA$7,,$E91)), 0)),0)</f>
        <v>0</v>
      </c>
      <c r="BC91" s="150">
        <f>IF($C91&gt;0,(IF($BA$7&gt;=$C91+1, (-FV(InflationRate,$BA$7,,$F91)), 0)),0)</f>
        <v>0</v>
      </c>
      <c r="BD91" s="176">
        <f>IF($C91&gt;0,(IF($BA$7&gt;=$C91+1, (-FV(InflationRate,$BA$7,,$G91)), 0)),0)</f>
        <v>0</v>
      </c>
      <c r="BE91" s="168">
        <f>IF($C91&gt;0,(IF($C91=$BE$7,(-FV(InflationRate,$BE$7,,$D91)),0)),0)</f>
        <v>0</v>
      </c>
      <c r="BF91" s="149">
        <f>IF($C91&gt;0,(IF($BE$7&gt;=$C91+1, (-FV(InflationRate,$BE$7,,$E91)), 0)),0)</f>
        <v>0</v>
      </c>
      <c r="BG91" s="149">
        <f>IF($C91&gt;0,(IF($BE$7&gt;=$C91+1, (-FV(InflationRate,$BE$7,,$F91)), 0)),0)</f>
        <v>0</v>
      </c>
      <c r="BH91" s="171">
        <f>IF($C91&gt;0,(IF($BE$7&gt;=$C91+1, (-FV(InflationRate,$BE$7,,$G91)), 0)),0)</f>
        <v>0</v>
      </c>
      <c r="BI91" s="160">
        <f>IF($C91&gt;0,(IF($C91=$BI$7,(-FV(InflationRate,$BI$7,,$D91)),0)),0)</f>
        <v>0</v>
      </c>
      <c r="BJ91" s="150">
        <f>IF($C91&gt;0,(IF($BI$7&gt;=$C91+1, (-FV(InflationRate,$BI$7,,$E91)), 0)),0)</f>
        <v>0</v>
      </c>
      <c r="BK91" s="150">
        <f>IF($C91&gt;0,(IF($BI$7&gt;=$C91+1, (-FV(InflationRate,$BI$7,,$F91)), 0)),0)</f>
        <v>0</v>
      </c>
      <c r="BL91" s="176">
        <f>IF($C91&gt;0,(IF($BI$7&gt;=$C91+1, (-FV(InflationRate,$BI$7,,$G91)), 0)),0)</f>
        <v>0</v>
      </c>
      <c r="BM91" s="168">
        <f>IF($C91&gt;0,(IF($C91=$BM$7,(-FV(InflationRate,$BM$7,,$D91)),0)),0)</f>
        <v>0</v>
      </c>
      <c r="BN91" s="149">
        <f>IF($C91&gt;0,(IF($BM$7&gt;=$C91+1, (-FV(InflationRate,$BM$7,,$E91)), 0)),0)</f>
        <v>0</v>
      </c>
      <c r="BO91" s="149">
        <f>IF($C91&gt;0,(IF($BM$7&gt;=$C91+1, (-FV(InflationRate,$BM$7,,$F91)), 0)),0)</f>
        <v>0</v>
      </c>
      <c r="BP91" s="157">
        <f>IF($C91&gt;0,(IF($BM$7&gt;=$C91+1, (-FV(InflationRate,$BM$7,,$G91)), 0)),0)</f>
        <v>0</v>
      </c>
      <c r="BQ91" s="160">
        <f>IF($C91&gt;0,(IF($C91=$BQ$7,(-FV(InflationRate,$BQ$7,,$D91)),0)),0)</f>
        <v>0</v>
      </c>
      <c r="BR91" s="150">
        <f>IF($C91&gt;0,(IF($BQ$7&gt;=$C91+1, (-FV(InflationRate,$BQ$7,,$E91)), 0)),0)</f>
        <v>0</v>
      </c>
      <c r="BS91" s="150">
        <f>IF($C91&gt;0,(IF($BQ$7&gt;=$C91+1, (-FV(InflationRate,$BQ$7,,$F91)), 0)),0)</f>
        <v>0</v>
      </c>
      <c r="BT91" s="176">
        <f>IF($C91&gt;0,(IF($BQ$7&gt;=$C91+1, (-FV(InflationRate,$BQ$7,,$G91)), 0)),0)</f>
        <v>0</v>
      </c>
      <c r="BU91" s="168">
        <f>IF($C91&gt;0,(IF($C91=$BU$7,(-FV(InflationRate,$BU$7,,$D91)),0)),0)</f>
        <v>0</v>
      </c>
      <c r="BV91" s="149">
        <f>IF($C91&gt;0,(IF($BU$7&gt;=$C91+1, (-FV(InflationRate,$BU$7,,$E91)), 0)),0)</f>
        <v>0</v>
      </c>
      <c r="BW91" s="149">
        <f>IF($C91&gt;0,(IF($BU$7&gt;=$C91+1, (-FV(InflationRate,$BU$7,,$F91)), 0)),0)</f>
        <v>0</v>
      </c>
      <c r="BX91" s="157">
        <f>IF($C91&gt;0,(IF($BU$7&gt;=$C91+1, (-FV(InflationRate,$BU$7,,$G91)), 0)),0)</f>
        <v>0</v>
      </c>
      <c r="BY91" s="160">
        <f>IF($C91&gt;0,(IF($C91=$BY$7,(-FV(InflationRate,$BY$7,,$D91)),0)),0)</f>
        <v>0</v>
      </c>
      <c r="BZ91" s="150">
        <f>IF($C91&gt;0,(IF($BY$7&gt;=$C91+1, (-FV(InflationRate,$BY$7,,$E91)), 0)),0)</f>
        <v>0</v>
      </c>
      <c r="CA91" s="150">
        <f>IF($C91&gt;0,(IF($BY$7&gt;=$C91+1, (-FV(InflationRate,$BY$7,,$F91)), 0)),0)</f>
        <v>0</v>
      </c>
      <c r="CB91" s="176">
        <f>IF($C91&gt;0,(IF($BY$7&gt;=$C91+1, (-FV(InflationRate,$BY$7,,$G91)), 0)),0)</f>
        <v>0</v>
      </c>
      <c r="CC91" s="168">
        <f>IF($C91&gt;0,(IF($C91=$CC$7,(-FV(InflationRate,$CC$7,,$D91)),0)),0)</f>
        <v>0</v>
      </c>
      <c r="CD91" s="149">
        <f>IF($C91&gt;0,(IF($CC$7&gt;=$C91+1, (-FV(InflationRate,$CC$7,,$E91)), 0)),0)</f>
        <v>0</v>
      </c>
      <c r="CE91" s="149">
        <f>IF($C91&gt;0,(IF($CC$7&gt;=$C91+1, (-FV(InflationRate,$CC$7,,$F91)), 0)),0)</f>
        <v>0</v>
      </c>
      <c r="CF91" s="157">
        <f>IF($C91&gt;0,(IF($CC$7&gt;=$C91+1, (-FV(InflationRate,$CC$7,,$G91)), 0)),0)</f>
        <v>0</v>
      </c>
      <c r="CG91" s="160">
        <f>IF($C91&gt;0,(IF($C91=$CG$7,(-FV(InflationRate,$CG$7,,$D91)),0)),0)</f>
        <v>0</v>
      </c>
      <c r="CH91" s="150">
        <f>IF($C91&gt;0,(IF($CG$7&gt;=$C91+1, (-FV(InflationRate,$CG$7,,$E91)), 0)),0)</f>
        <v>0</v>
      </c>
      <c r="CI91" s="150">
        <f>IF($C91&gt;0,(IF($CG$7&gt;=$C91+1, (-FV(InflationRate,$CG$7,,$F91)), 0)),0)</f>
        <v>0</v>
      </c>
      <c r="CJ91" s="176">
        <f>IF($C91&gt;0,(IF($CG$7&gt;=$C91+1, (-FV(InflationRate,$CG$7,,$G91)), 0)),0)</f>
        <v>0</v>
      </c>
      <c r="CK91" s="168">
        <f>IF($C91&gt;0,(IF($C91=$CK$7,(-FV(InflationRate,$CK$7,,$D91)),0)),0)</f>
        <v>0</v>
      </c>
      <c r="CL91" s="149">
        <f>IF($C91&gt;0,(IF($CK$7&gt;=$C91+1, (-FV(InflationRate,$CK$7,,$E91)), 0)),0)</f>
        <v>0</v>
      </c>
      <c r="CM91" s="149">
        <f>IF($C91&gt;0,(IF($CK$7&gt;=$C91+1, (-FV(InflationRate,$CK$7,,$F91)), 0)),0)</f>
        <v>0</v>
      </c>
      <c r="CN91" s="157">
        <f>IF($C91&gt;0,(IF($CK$7&gt;=$C91+1, (-FV(InflationRate,$CK$7,,$G91)), 0)),0)</f>
        <v>0</v>
      </c>
      <c r="CO91" s="160">
        <f>IF($C91&gt;0,(IF($C91=$CO$7,(-FV(InflationRate,$CO$7,,$D91)),0)),0)</f>
        <v>0</v>
      </c>
      <c r="CP91" s="150">
        <f>IF($C91&gt;0,(IF($CO$7&gt;=$C91+1, (-FV(InflationRate,$CO$7,,$E91)), 0)),0)</f>
        <v>0</v>
      </c>
      <c r="CQ91" s="150">
        <f>IF($C91&gt;0,(IF($CO$7&gt;=$C91+1, (-FV(InflationRate,$CO$7,,$F91)), 0)),0)</f>
        <v>0</v>
      </c>
      <c r="CR91" s="176">
        <f>IF($C91&gt;0,(IF($CO$7&gt;=$C91+1, (-FV(InflationRate,$CO$7,,$G91)), 0)),0)</f>
        <v>0</v>
      </c>
      <c r="CS91" s="168">
        <f>IF($C91&gt;0,(IF($C91=$CS$7,(-FV(InflationRate,$CS$7,,$D91)),0)),0)</f>
        <v>0</v>
      </c>
      <c r="CT91" s="149">
        <f>IF($C91&gt;0,(IF($CS$7&gt;=$C91+1, (-FV(InflationRate,$CS$7,,$E91)), 0)),0)</f>
        <v>0</v>
      </c>
      <c r="CU91" s="149">
        <f>IF($C91&gt;0,(IF($CS$7&gt;=$C91+1, (-FV(InflationRate,$CS$7,,$F91)), 0)),0)</f>
        <v>0</v>
      </c>
      <c r="CV91" s="157">
        <f>IF($C91&gt;0,(IF($CS$7&gt;=$C91+1, (-FV(InflationRate,$CS$7,,$G91)), 0)),0)</f>
        <v>0</v>
      </c>
      <c r="CW91" s="160">
        <f>IF($C91&gt;0,(IF($C91=$CW$7,(-FV(InflationRate,$CW$7,,$D91)),0)),0)</f>
        <v>0</v>
      </c>
      <c r="CX91" s="150">
        <f>IF($C91&gt;0,(IF($CW$7&gt;=$C91+1, (-FV(InflationRate,$CW$7,,$E91)), 0)),0)</f>
        <v>0</v>
      </c>
      <c r="CY91" s="150">
        <f>IF($C91&gt;0,(IF($CW$7&gt;=$C91+1, (-FV(InflationRate,$CW$7,,$F91)), 0)),0)</f>
        <v>0</v>
      </c>
      <c r="CZ91" s="176">
        <f>IF($C91&gt;0,(IF($CW$7&gt;=$C91+1, (-FV(InflationRate,$CW$7,,$G91)), 0)),0)</f>
        <v>0</v>
      </c>
      <c r="DA91" s="168">
        <f>IF($C91&gt;0,(IF($C91=$DA$7,(-FV(InflationRate,$DA$7,,$D91)),0)),0)</f>
        <v>0</v>
      </c>
      <c r="DB91" s="149">
        <f>IF($C91&gt;0,(IF($DA$7&gt;=$C91+1, (-FV(InflationRate,$DA$7,,$E91)), 0)),0)</f>
        <v>0</v>
      </c>
      <c r="DC91" s="149">
        <f>IF($C91&gt;0,(IF($DA$7&gt;=$C91+1, (-FV(InflationRate,$DA$7,,$F91)), 0)),0)</f>
        <v>0</v>
      </c>
      <c r="DD91" s="157">
        <f>IF($C91&gt;0,(IF($DA$7&gt;=$C91+1, (-FV(InflationRate,$DA$7,,$G91)), 0)),0)</f>
        <v>0</v>
      </c>
    </row>
    <row r="92" spans="2:108" ht="12.75" hidden="1" customHeight="1" x14ac:dyDescent="0.2">
      <c r="B92" s="183" t="s">
        <v>270</v>
      </c>
      <c r="C92" s="556"/>
      <c r="D92" s="557">
        <v>0</v>
      </c>
      <c r="E92" s="558">
        <v>0</v>
      </c>
      <c r="F92" s="149"/>
      <c r="G92" s="558">
        <v>0</v>
      </c>
      <c r="H92" s="168">
        <f>SUM(I92:AB92)</f>
        <v>0</v>
      </c>
      <c r="I92" s="610">
        <f>-PV(InterestRate,I$8,,(SUM(AC92:AF92)))</f>
        <v>0</v>
      </c>
      <c r="J92" s="610">
        <f>-PV(InterestRate,J$8,,(SUM(AG92:AJ92)))</f>
        <v>0</v>
      </c>
      <c r="K92" s="610">
        <f>-PV(InterestRate,K$8,,(SUM(AK92:AN92)))</f>
        <v>0</v>
      </c>
      <c r="L92" s="610">
        <f>-PV(InterestRate,L$8,,(SUM(AO92:AR92)))</f>
        <v>0</v>
      </c>
      <c r="M92" s="610">
        <f>-PV(InterestRate,M$8,,(SUM(AS92:AV92)))</f>
        <v>0</v>
      </c>
      <c r="N92" s="610">
        <f>-PV(InterestRate,N$8,,(SUM(AW92:AZ92)))</f>
        <v>0</v>
      </c>
      <c r="O92" s="610">
        <f>-PV(InterestRate,O$8,,(SUM(BA92:BD92)))</f>
        <v>0</v>
      </c>
      <c r="P92" s="610">
        <f>-PV(InterestRate,P$8,,(SUM(BE92:BH92)))</f>
        <v>0</v>
      </c>
      <c r="Q92" s="610">
        <f>-PV(InterestRate,Q$8,,(SUM(BI92:BL92)))</f>
        <v>0</v>
      </c>
      <c r="R92" s="610">
        <f>-PV(InterestRate,R$8,,(SUM(BM92:BP92)))</f>
        <v>0</v>
      </c>
      <c r="S92" s="610">
        <f>-PV(InterestRate,S$8,,(SUM(BQ92:BT92)))</f>
        <v>0</v>
      </c>
      <c r="T92" s="610">
        <f>-PV(InterestRate,T$8,,(SUM(BU92:BX92)))</f>
        <v>0</v>
      </c>
      <c r="U92" s="610">
        <f>-PV(InterestRate,U$8,,(SUM(BY92:CB92)))</f>
        <v>0</v>
      </c>
      <c r="V92" s="610">
        <f>-PV(InterestRate,V$8,,(SUM(CC92:CF92)))</f>
        <v>0</v>
      </c>
      <c r="W92" s="610">
        <f>-PV(InterestRate,W$8,,(SUM(CG92:CJ92)))</f>
        <v>0</v>
      </c>
      <c r="X92" s="610">
        <f>-PV(InterestRate,X$8,,(SUM(CK92:CN92)))</f>
        <v>0</v>
      </c>
      <c r="Y92" s="610">
        <f>-PV(InterestRate,Y$8,,(SUM(CO92:CR92)))</f>
        <v>0</v>
      </c>
      <c r="Z92" s="610">
        <f>-PV(InterestRate,Z$8,,(SUM(CS92:CV92)))</f>
        <v>0</v>
      </c>
      <c r="AA92" s="610">
        <f>-PV(InterestRate,AA$8,,(SUM(CW92:CZ92)))</f>
        <v>0</v>
      </c>
      <c r="AB92" s="611">
        <f>-PV(InterestRate,AB$8,,(SUM(DA92:DD92)))</f>
        <v>0</v>
      </c>
      <c r="AC92" s="160">
        <f>IF($C92&gt;0,(IF($C92=$AC$7,$D92,0)),0)</f>
        <v>0</v>
      </c>
      <c r="AD92" s="150">
        <f>IF($C92&gt;0,(IF($AC$7&gt;=$C92+1,$E92,0)),0)</f>
        <v>0</v>
      </c>
      <c r="AE92" s="150">
        <f>IF($C92&gt;0,(IF($C92=$AC$7,$F92,0)),0)</f>
        <v>0</v>
      </c>
      <c r="AF92" s="165">
        <f>IF($C92&gt;0,(IF($AC$7&gt;=$C92+1,$G92,0)),0)</f>
        <v>0</v>
      </c>
      <c r="AG92" s="168">
        <f>IF($C92&gt;0,(IF($C92=$AG$7,(-FV(InflationRate,$AG$7,,$D92)),0)),0)</f>
        <v>0</v>
      </c>
      <c r="AH92" s="149">
        <f>IF($C92&gt;0,(IF($AG$7&gt;=$C92+1, (-FV(InflationRate,$AG$7,,$E92)), 0)),0)</f>
        <v>0</v>
      </c>
      <c r="AI92" s="149">
        <f>IF($C92&gt;0,(IF($AG$7&gt;=$C92+1, (-FV(InflationRate,$AG$7,,$F92)), 0)),0)</f>
        <v>0</v>
      </c>
      <c r="AJ92" s="171">
        <f>IF($C92&gt;0,(IF($AG$7&gt;=$C92+1, (-FV(InflationRate,$AG$7,,$G92)), 0)),0)</f>
        <v>0</v>
      </c>
      <c r="AK92" s="160">
        <f>IF($C92&gt;0,(IF($C92=$AK$7,(-FV(InflationRate,$AK$7,,$D92)),0)),0)</f>
        <v>0</v>
      </c>
      <c r="AL92" s="150">
        <f>IF($C92&gt;0,(IF($AK$7&gt;=$C92+1, (-FV(InflationRate,$AK$7,,$E92)), 0)),0)</f>
        <v>0</v>
      </c>
      <c r="AM92" s="150">
        <f>IF($C92&gt;0,(IF($AK$7&gt;=$C92+1, (-FV(InflationRate,$AK$7,,$F92)), 0)),0)</f>
        <v>0</v>
      </c>
      <c r="AN92" s="165">
        <f>IF($C92&gt;0,(IF($AK$7&gt;=$C92+1, (-FV(InflationRate,$AK$7,,$G92)), 0)),0)</f>
        <v>0</v>
      </c>
      <c r="AO92" s="168">
        <f>IF($C92&gt;0,(IF($C92=$AO$7,(-FV(InflationRate,$AO$7,,$D92)),0)),0)</f>
        <v>0</v>
      </c>
      <c r="AP92" s="149">
        <f>IF($C92&gt;0,(IF($AO$7&gt;=$C92+1, (-FV(InflationRate,$AO$7,,$E92)), 0)),0)</f>
        <v>0</v>
      </c>
      <c r="AQ92" s="149">
        <f>IF($C92&gt;0,(IF($AO$7&gt;=$C92+1, (-FV(InflationRate,$AO$7,,$F92)), 0)),0)</f>
        <v>0</v>
      </c>
      <c r="AR92" s="157">
        <f>IF($C92&gt;0,(IF($AO$7&gt;=$C92+1, (-FV(InflationRate,$AO$7,,$G92)), 0)),0)</f>
        <v>0</v>
      </c>
      <c r="AS92" s="160">
        <f>IF($C92&gt;0,(IF($C92=$AS$7,(-FV(InflationRate,$AS$7,,$D92)),0)),0)</f>
        <v>0</v>
      </c>
      <c r="AT92" s="150">
        <f>IF($C92&gt;0,(IF($AS$7&gt;=$C92+1, (-FV(InflationRate,$AS$7,,$E92)), 0)),0)</f>
        <v>0</v>
      </c>
      <c r="AU92" s="150">
        <f>IF($C92&gt;0,(IF($AS$7&gt;=$C92+1, (-FV(InflationRate,$AS$7,,$F92)), 0)),0)</f>
        <v>0</v>
      </c>
      <c r="AV92" s="165">
        <f>IF($C92&gt;0,(IF($AS$7&gt;=$C92+1, (-FV(InflationRate,$AS$7,,$G92)), 0)),0)</f>
        <v>0</v>
      </c>
      <c r="AW92" s="168">
        <f>IF($C92&gt;0,(IF($C92=$AW$7,(-FV(InflationRate,$AW$7,,$D92)),0)),0)</f>
        <v>0</v>
      </c>
      <c r="AX92" s="149">
        <f>IF($C92&gt;0,(IF($AW$7&gt;=$C92+1, (-FV(InflationRate,$AW$7,,$E92)), 0)),0)</f>
        <v>0</v>
      </c>
      <c r="AY92" s="149">
        <f>IF($C92&gt;0,(IF($AW$7&gt;=$C92+1, (-FV(InflationRate,$AW$7,,$F92)), 0)),0)</f>
        <v>0</v>
      </c>
      <c r="AZ92" s="157">
        <f>IF($C92&gt;0,(IF($AW$7&gt;=$C92+1, (-FV(InflationRate,$AW$7,,$G92)), 0)),0)</f>
        <v>0</v>
      </c>
      <c r="BA92" s="160">
        <f>IF($C92&gt;0,(IF($C92=$BA$7,(-FV(InflationRate,$BA$7,,$D92)),0)),0)</f>
        <v>0</v>
      </c>
      <c r="BB92" s="150">
        <f>IF($C92&gt;0,(IF($BA$7&gt;=$C92+1, (-FV(InflationRate,$BA$7,,$E92)), 0)),0)</f>
        <v>0</v>
      </c>
      <c r="BC92" s="150">
        <f>IF($C92&gt;0,(IF($BA$7&gt;=$C92+1, (-FV(InflationRate,$BA$7,,$F92)), 0)),0)</f>
        <v>0</v>
      </c>
      <c r="BD92" s="176">
        <f>IF($C92&gt;0,(IF($BA$7&gt;=$C92+1, (-FV(InflationRate,$BA$7,,$G92)), 0)),0)</f>
        <v>0</v>
      </c>
      <c r="BE92" s="168">
        <f>IF($C92&gt;0,(IF($C92=$BE$7,(-FV(InflationRate,$BE$7,,$D92)),0)),0)</f>
        <v>0</v>
      </c>
      <c r="BF92" s="149">
        <f>IF($C92&gt;0,(IF($BE$7&gt;=$C92+1, (-FV(InflationRate,$BE$7,,$E92)), 0)),0)</f>
        <v>0</v>
      </c>
      <c r="BG92" s="149">
        <f>IF($C92&gt;0,(IF($BE$7&gt;=$C92+1, (-FV(InflationRate,$BE$7,,$F92)), 0)),0)</f>
        <v>0</v>
      </c>
      <c r="BH92" s="171">
        <f>IF($C92&gt;0,(IF($BE$7&gt;=$C92+1, (-FV(InflationRate,$BE$7,,$G92)), 0)),0)</f>
        <v>0</v>
      </c>
      <c r="BI92" s="160">
        <f>IF($C92&gt;0,(IF($C92=$BI$7,(-FV(InflationRate,$BI$7,,$D92)),0)),0)</f>
        <v>0</v>
      </c>
      <c r="BJ92" s="150">
        <f>IF($C92&gt;0,(IF($BI$7&gt;=$C92+1, (-FV(InflationRate,$BI$7,,$E92)), 0)),0)</f>
        <v>0</v>
      </c>
      <c r="BK92" s="150">
        <f>IF($C92&gt;0,(IF($BI$7&gt;=$C92+1, (-FV(InflationRate,$BI$7,,$F92)), 0)),0)</f>
        <v>0</v>
      </c>
      <c r="BL92" s="176">
        <f>IF($C92&gt;0,(IF($BI$7&gt;=$C92+1, (-FV(InflationRate,$BI$7,,$G92)), 0)),0)</f>
        <v>0</v>
      </c>
      <c r="BM92" s="168">
        <f>IF($C92&gt;0,(IF($C92=$BM$7,(-FV(InflationRate,$BM$7,,$D92)),0)),0)</f>
        <v>0</v>
      </c>
      <c r="BN92" s="149">
        <f>IF($C92&gt;0,(IF($BM$7&gt;=$C92+1, (-FV(InflationRate,$BM$7,,$E92)), 0)),0)</f>
        <v>0</v>
      </c>
      <c r="BO92" s="149">
        <f>IF($C92&gt;0,(IF($BM$7&gt;=$C92+1, (-FV(InflationRate,$BM$7,,$F92)), 0)),0)</f>
        <v>0</v>
      </c>
      <c r="BP92" s="157">
        <f>IF($C92&gt;0,(IF($BM$7&gt;=$C92+1, (-FV(InflationRate,$BM$7,,$G92)), 0)),0)</f>
        <v>0</v>
      </c>
      <c r="BQ92" s="160">
        <f>IF($C92&gt;0,(IF($C92=$BQ$7,(-FV(InflationRate,$BQ$7,,$D92)),0)),0)</f>
        <v>0</v>
      </c>
      <c r="BR92" s="150">
        <f>IF($C92&gt;0,(IF($BQ$7&gt;=$C92+1, (-FV(InflationRate,$BQ$7,,$E92)), 0)),0)</f>
        <v>0</v>
      </c>
      <c r="BS92" s="150">
        <f>IF($C92&gt;0,(IF($BQ$7&gt;=$C92+1, (-FV(InflationRate,$BQ$7,,$F92)), 0)),0)</f>
        <v>0</v>
      </c>
      <c r="BT92" s="176">
        <f>IF($C92&gt;0,(IF($BQ$7&gt;=$C92+1, (-FV(InflationRate,$BQ$7,,$G92)), 0)),0)</f>
        <v>0</v>
      </c>
      <c r="BU92" s="168">
        <f>IF($C92&gt;0,(IF($C92=$BU$7,(-FV(InflationRate,$BU$7,,$D92)),0)),0)</f>
        <v>0</v>
      </c>
      <c r="BV92" s="149">
        <f>IF($C92&gt;0,(IF($BU$7&gt;=$C92+1, (-FV(InflationRate,$BU$7,,$E92)), 0)),0)</f>
        <v>0</v>
      </c>
      <c r="BW92" s="149">
        <f>IF($C92&gt;0,(IF($BU$7&gt;=$C92+1, (-FV(InflationRate,$BU$7,,$F92)), 0)),0)</f>
        <v>0</v>
      </c>
      <c r="BX92" s="157">
        <f>IF($C92&gt;0,(IF($BU$7&gt;=$C92+1, (-FV(InflationRate,$BU$7,,$G92)), 0)),0)</f>
        <v>0</v>
      </c>
      <c r="BY92" s="160">
        <f>IF($C92&gt;0,(IF($C92=$BY$7,(-FV(InflationRate,$BY$7,,$D92)),0)),0)</f>
        <v>0</v>
      </c>
      <c r="BZ92" s="150">
        <f>IF($C92&gt;0,(IF($BY$7&gt;=$C92+1, (-FV(InflationRate,$BY$7,,$E92)), 0)),0)</f>
        <v>0</v>
      </c>
      <c r="CA92" s="150">
        <f>IF($C92&gt;0,(IF($BY$7&gt;=$C92+1, (-FV(InflationRate,$BY$7,,$F92)), 0)),0)</f>
        <v>0</v>
      </c>
      <c r="CB92" s="176">
        <f>IF($C92&gt;0,(IF($BY$7&gt;=$C92+1, (-FV(InflationRate,$BY$7,,$G92)), 0)),0)</f>
        <v>0</v>
      </c>
      <c r="CC92" s="168">
        <f>IF($C92&gt;0,(IF($C92=$CC$7,(-FV(InflationRate,$CC$7,,$D92)),0)),0)</f>
        <v>0</v>
      </c>
      <c r="CD92" s="149">
        <f>IF($C92&gt;0,(IF($CC$7&gt;=$C92+1, (-FV(InflationRate,$CC$7,,$E92)), 0)),0)</f>
        <v>0</v>
      </c>
      <c r="CE92" s="149">
        <f>IF($C92&gt;0,(IF($CC$7&gt;=$C92+1, (-FV(InflationRate,$CC$7,,$F92)), 0)),0)</f>
        <v>0</v>
      </c>
      <c r="CF92" s="157">
        <f>IF($C92&gt;0,(IF($CC$7&gt;=$C92+1, (-FV(InflationRate,$CC$7,,$G92)), 0)),0)</f>
        <v>0</v>
      </c>
      <c r="CG92" s="160">
        <f>IF($C92&gt;0,(IF($C92=$CG$7,(-FV(InflationRate,$CG$7,,$D92)),0)),0)</f>
        <v>0</v>
      </c>
      <c r="CH92" s="150">
        <f>IF($C92&gt;0,(IF($CG$7&gt;=$C92+1, (-FV(InflationRate,$CG$7,,$E92)), 0)),0)</f>
        <v>0</v>
      </c>
      <c r="CI92" s="150">
        <f>IF($C92&gt;0,(IF($CG$7&gt;=$C92+1, (-FV(InflationRate,$CG$7,,$F92)), 0)),0)</f>
        <v>0</v>
      </c>
      <c r="CJ92" s="176">
        <f>IF($C92&gt;0,(IF($CG$7&gt;=$C92+1, (-FV(InflationRate,$CG$7,,$G92)), 0)),0)</f>
        <v>0</v>
      </c>
      <c r="CK92" s="168">
        <f>IF($C92&gt;0,(IF($C92=$CK$7,(-FV(InflationRate,$CK$7,,$D92)),0)),0)</f>
        <v>0</v>
      </c>
      <c r="CL92" s="149">
        <f>IF($C92&gt;0,(IF($CK$7&gt;=$C92+1, (-FV(InflationRate,$CK$7,,$E92)), 0)),0)</f>
        <v>0</v>
      </c>
      <c r="CM92" s="149">
        <f>IF($C92&gt;0,(IF($CK$7&gt;=$C92+1, (-FV(InflationRate,$CK$7,,$F92)), 0)),0)</f>
        <v>0</v>
      </c>
      <c r="CN92" s="157">
        <f>IF($C92&gt;0,(IF($CK$7&gt;=$C92+1, (-FV(InflationRate,$CK$7,,$G92)), 0)),0)</f>
        <v>0</v>
      </c>
      <c r="CO92" s="160">
        <f>IF($C92&gt;0,(IF($C92=$CO$7,(-FV(InflationRate,$CO$7,,$D92)),0)),0)</f>
        <v>0</v>
      </c>
      <c r="CP92" s="150">
        <f>IF($C92&gt;0,(IF($CO$7&gt;=$C92+1, (-FV(InflationRate,$CO$7,,$E92)), 0)),0)</f>
        <v>0</v>
      </c>
      <c r="CQ92" s="150">
        <f>IF($C92&gt;0,(IF($CO$7&gt;=$C92+1, (-FV(InflationRate,$CO$7,,$F92)), 0)),0)</f>
        <v>0</v>
      </c>
      <c r="CR92" s="176">
        <f>IF($C92&gt;0,(IF($CO$7&gt;=$C92+1, (-FV(InflationRate,$CO$7,,$G92)), 0)),0)</f>
        <v>0</v>
      </c>
      <c r="CS92" s="168">
        <f>IF($C92&gt;0,(IF($C92=$CS$7,(-FV(InflationRate,$CS$7,,$D92)),0)),0)</f>
        <v>0</v>
      </c>
      <c r="CT92" s="149">
        <f>IF($C92&gt;0,(IF($CS$7&gt;=$C92+1, (-FV(InflationRate,$CS$7,,$E92)), 0)),0)</f>
        <v>0</v>
      </c>
      <c r="CU92" s="149">
        <f>IF($C92&gt;0,(IF($CS$7&gt;=$C92+1, (-FV(InflationRate,$CS$7,,$F92)), 0)),0)</f>
        <v>0</v>
      </c>
      <c r="CV92" s="157">
        <f>IF($C92&gt;0,(IF($CS$7&gt;=$C92+1, (-FV(InflationRate,$CS$7,,$G92)), 0)),0)</f>
        <v>0</v>
      </c>
      <c r="CW92" s="160">
        <f>IF($C92&gt;0,(IF($C92=$CW$7,(-FV(InflationRate,$CW$7,,$D92)),0)),0)</f>
        <v>0</v>
      </c>
      <c r="CX92" s="150">
        <f>IF($C92&gt;0,(IF($CW$7&gt;=$C92+1, (-FV(InflationRate,$CW$7,,$E92)), 0)),0)</f>
        <v>0</v>
      </c>
      <c r="CY92" s="150">
        <f>IF($C92&gt;0,(IF($CW$7&gt;=$C92+1, (-FV(InflationRate,$CW$7,,$F92)), 0)),0)</f>
        <v>0</v>
      </c>
      <c r="CZ92" s="176">
        <f>IF($C92&gt;0,(IF($CW$7&gt;=$C92+1, (-FV(InflationRate,$CW$7,,$G92)), 0)),0)</f>
        <v>0</v>
      </c>
      <c r="DA92" s="168">
        <f>IF($C92&gt;0,(IF($C92=$DA$7,(-FV(InflationRate,$DA$7,,$D92)),0)),0)</f>
        <v>0</v>
      </c>
      <c r="DB92" s="149">
        <f>IF($C92&gt;0,(IF($DA$7&gt;=$C92+1, (-FV(InflationRate,$DA$7,,$E92)), 0)),0)</f>
        <v>0</v>
      </c>
      <c r="DC92" s="149">
        <f>IF($C92&gt;0,(IF($DA$7&gt;=$C92+1, (-FV(InflationRate,$DA$7,,$F92)), 0)),0)</f>
        <v>0</v>
      </c>
      <c r="DD92" s="157">
        <f>IF($C92&gt;0,(IF($DA$7&gt;=$C92+1, (-FV(InflationRate,$DA$7,,$G92)), 0)),0)</f>
        <v>0</v>
      </c>
    </row>
    <row r="93" spans="2:108" ht="12.75" hidden="1" customHeight="1" x14ac:dyDescent="0.2">
      <c r="B93" s="183" t="s">
        <v>203</v>
      </c>
      <c r="C93" s="556"/>
      <c r="D93" s="168"/>
      <c r="E93" s="149"/>
      <c r="F93" s="558">
        <v>0</v>
      </c>
      <c r="G93" s="149"/>
      <c r="H93" s="168">
        <f>SUM(I93:AB93)</f>
        <v>0</v>
      </c>
      <c r="I93" s="610">
        <f>-PV(InterestRate,I$8,,(SUM(AC93:AF93)))</f>
        <v>0</v>
      </c>
      <c r="J93" s="610">
        <f>-PV(InterestRate,J$8,,(SUM(AG93:AJ93)))</f>
        <v>0</v>
      </c>
      <c r="K93" s="610">
        <f>-PV(InterestRate,K$8,,(SUM(AK93:AN93)))</f>
        <v>0</v>
      </c>
      <c r="L93" s="610">
        <f>-PV(InterestRate,L$8,,(SUM(AO93:AR93)))</f>
        <v>0</v>
      </c>
      <c r="M93" s="610">
        <f>-PV(InterestRate,M$8,,(SUM(AS93:AV93)))</f>
        <v>0</v>
      </c>
      <c r="N93" s="610">
        <f>-PV(InterestRate,N$8,,(SUM(AW93:AZ93)))</f>
        <v>0</v>
      </c>
      <c r="O93" s="610">
        <f>-PV(InterestRate,O$8,,(SUM(BA93:BD93)))</f>
        <v>0</v>
      </c>
      <c r="P93" s="610">
        <f>-PV(InterestRate,P$8,,(SUM(BE93:BH93)))</f>
        <v>0</v>
      </c>
      <c r="Q93" s="610">
        <f>-PV(InterestRate,Q$8,,(SUM(BI93:BL93)))</f>
        <v>0</v>
      </c>
      <c r="R93" s="610">
        <f>-PV(InterestRate,R$8,,(SUM(BM93:BP93)))</f>
        <v>0</v>
      </c>
      <c r="S93" s="610">
        <f>-PV(InterestRate,S$8,,(SUM(BQ93:BT93)))</f>
        <v>0</v>
      </c>
      <c r="T93" s="610">
        <f>-PV(InterestRate,T$8,,(SUM(BU93:BX93)))</f>
        <v>0</v>
      </c>
      <c r="U93" s="610">
        <f>-PV(InterestRate,U$8,,(SUM(BY93:CB93)))</f>
        <v>0</v>
      </c>
      <c r="V93" s="610">
        <f>-PV(InterestRate,V$8,,(SUM(CC93:CF93)))</f>
        <v>0</v>
      </c>
      <c r="W93" s="610">
        <f>-PV(InterestRate,W$8,,(SUM(CG93:CJ93)))</f>
        <v>0</v>
      </c>
      <c r="X93" s="610">
        <f>-PV(InterestRate,X$8,,(SUM(CK93:CN93)))</f>
        <v>0</v>
      </c>
      <c r="Y93" s="610">
        <f>-PV(InterestRate,Y$8,,(SUM(CO93:CR93)))</f>
        <v>0</v>
      </c>
      <c r="Z93" s="610">
        <f>-PV(InterestRate,Z$8,,(SUM(CS93:CV93)))</f>
        <v>0</v>
      </c>
      <c r="AA93" s="610">
        <f>-PV(InterestRate,AA$8,,(SUM(CW93:CZ93)))</f>
        <v>0</v>
      </c>
      <c r="AB93" s="611">
        <f>-PV(InterestRate,AB$8,,(SUM(DA93:DD93)))</f>
        <v>0</v>
      </c>
      <c r="AC93" s="160">
        <f>IF($C93&gt;0,(IF($C93=$AC$7,$D93,0)),0)</f>
        <v>0</v>
      </c>
      <c r="AD93" s="150">
        <f>IF($C93&gt;0,(IF($AC$7&gt;=$C93+1,$E93,0)),0)</f>
        <v>0</v>
      </c>
      <c r="AE93" s="150">
        <f>IF($C93&gt;0,(IF($C93=$AC$7,$F93,0)),0)</f>
        <v>0</v>
      </c>
      <c r="AF93" s="165">
        <f>IF($C93&gt;0,(IF($AC$7&gt;=$C93+1,$G93,0)),0)</f>
        <v>0</v>
      </c>
      <c r="AG93" s="168">
        <f>IF($C93&gt;0,(IF($C93=$AG$7,(-FV(InflationRate,$AG$7,,$D93)),0)),0)</f>
        <v>0</v>
      </c>
      <c r="AH93" s="149">
        <f>IF($C93&gt;0,(IF($AG$7&gt;=$C93+1, (-FV(InflationRate,$AG$7,,$E93)), 0)),0)</f>
        <v>0</v>
      </c>
      <c r="AI93" s="149">
        <f>IF($C93&gt;0,(IF($AG$7&gt;=$C93+1, (-FV(InflationRate,$AG$7,,$F93)), 0)),0)</f>
        <v>0</v>
      </c>
      <c r="AJ93" s="171">
        <f>IF($C93&gt;0,(IF($AG$7&gt;=$C93+1, (-FV(InflationRate,$AG$7,,$G93)), 0)),0)</f>
        <v>0</v>
      </c>
      <c r="AK93" s="160">
        <f>IF($C93&gt;0,(IF($C93=$AK$7,(-FV(InflationRate,$AK$7,,$D93)),0)),0)</f>
        <v>0</v>
      </c>
      <c r="AL93" s="150">
        <f>IF($C93&gt;0,(IF($AK$7&gt;=$C93+1, (-FV(InflationRate,$AK$7,,$E93)), 0)),0)</f>
        <v>0</v>
      </c>
      <c r="AM93" s="150">
        <f>IF($C93&gt;0,(IF($AK$7&gt;=$C93+1, (-FV(InflationRate,$AK$7,,$F93)), 0)),0)</f>
        <v>0</v>
      </c>
      <c r="AN93" s="165">
        <f>IF($C93&gt;0,(IF($AK$7&gt;=$C93+1, (-FV(InflationRate,$AK$7,,$G93)), 0)),0)</f>
        <v>0</v>
      </c>
      <c r="AO93" s="168">
        <f>IF($C93&gt;0,(IF($C93=$AO$7,(-FV(InflationRate,$AO$7,,$D93)),0)),0)</f>
        <v>0</v>
      </c>
      <c r="AP93" s="149">
        <f>IF($C93&gt;0,(IF($AO$7&gt;=$C93+1, (-FV(InflationRate,$AO$7,,$E93)), 0)),0)</f>
        <v>0</v>
      </c>
      <c r="AQ93" s="149">
        <f>IF($C93&gt;0,(IF($AO$7&gt;=$C93+1, (-FV(InflationRate,$AO$7,,$F93)), 0)),0)</f>
        <v>0</v>
      </c>
      <c r="AR93" s="157">
        <f>IF($C93&gt;0,(IF($AO$7&gt;=$C93+1, (-FV(InflationRate,$AO$7,,$G93)), 0)),0)</f>
        <v>0</v>
      </c>
      <c r="AS93" s="160">
        <f>IF($C93&gt;0,(IF($C93=$AS$7,(-FV(InflationRate,$AS$7,,$D93)),0)),0)</f>
        <v>0</v>
      </c>
      <c r="AT93" s="150">
        <f>IF($C93&gt;0,(IF($AS$7&gt;=$C93+1, (-FV(InflationRate,$AS$7,,$E93)), 0)),0)</f>
        <v>0</v>
      </c>
      <c r="AU93" s="150">
        <f>IF($C93&gt;0,(IF($AS$7&gt;=$C93+1, (-FV(InflationRate,$AS$7,,$F93)), 0)),0)</f>
        <v>0</v>
      </c>
      <c r="AV93" s="165">
        <f>IF($C93&gt;0,(IF($AS$7&gt;=$C93+1, (-FV(InflationRate,$AS$7,,$G93)), 0)),0)</f>
        <v>0</v>
      </c>
      <c r="AW93" s="168">
        <f>IF($C93&gt;0,(IF($C93=$AW$7,(-FV(InflationRate,$AW$7,,$D93)),0)),0)</f>
        <v>0</v>
      </c>
      <c r="AX93" s="149">
        <f>IF($C93&gt;0,(IF($AW$7&gt;=$C93+1, (-FV(InflationRate,$AW$7,,$E93)), 0)),0)</f>
        <v>0</v>
      </c>
      <c r="AY93" s="149">
        <f>IF($C93&gt;0,(IF($AW$7&gt;=$C93+1, (-FV(InflationRate,$AW$7,,$F93)), 0)),0)</f>
        <v>0</v>
      </c>
      <c r="AZ93" s="157">
        <f>IF($C93&gt;0,(IF($AW$7&gt;=$C93+1, (-FV(InflationRate,$AW$7,,$G93)), 0)),0)</f>
        <v>0</v>
      </c>
      <c r="BA93" s="160">
        <f>IF($C93&gt;0,(IF($C93=$BA$7,(-FV(InflationRate,$BA$7,,$D93)),0)),0)</f>
        <v>0</v>
      </c>
      <c r="BB93" s="150">
        <f>IF($C93&gt;0,(IF($BA$7&gt;=$C93+1, (-FV(InflationRate,$BA$7,,$E93)), 0)),0)</f>
        <v>0</v>
      </c>
      <c r="BC93" s="150">
        <f>IF($C93&gt;0,(IF($BA$7&gt;=$C93+1, (-FV(InflationRate,$BA$7,,$F93)), 0)),0)</f>
        <v>0</v>
      </c>
      <c r="BD93" s="176">
        <f>IF($C93&gt;0,(IF($BA$7&gt;=$C93+1, (-FV(InflationRate,$BA$7,,$G93)), 0)),0)</f>
        <v>0</v>
      </c>
      <c r="BE93" s="168">
        <f>IF($C93&gt;0,(IF($C93=$BE$7,(-FV(InflationRate,$BE$7,,$D93)),0)),0)</f>
        <v>0</v>
      </c>
      <c r="BF93" s="149">
        <f>IF($C93&gt;0,(IF($BE$7&gt;=$C93+1, (-FV(InflationRate,$BE$7,,$E93)), 0)),0)</f>
        <v>0</v>
      </c>
      <c r="BG93" s="149">
        <f>IF($C93&gt;0,(IF($BE$7&gt;=$C93+1, (-FV(InflationRate,$BE$7,,$F93)), 0)),0)</f>
        <v>0</v>
      </c>
      <c r="BH93" s="171">
        <f>IF($C93&gt;0,(IF($BE$7&gt;=$C93+1, (-FV(InflationRate,$BE$7,,$G93)), 0)),0)</f>
        <v>0</v>
      </c>
      <c r="BI93" s="160">
        <f>IF($C93&gt;0,(IF($C93=$BI$7,(-FV(InflationRate,$BI$7,,$D93)),0)),0)</f>
        <v>0</v>
      </c>
      <c r="BJ93" s="150">
        <f>IF($C93&gt;0,(IF($BI$7&gt;=$C93+1, (-FV(InflationRate,$BI$7,,$E93)), 0)),0)</f>
        <v>0</v>
      </c>
      <c r="BK93" s="150">
        <f>IF($C93&gt;0,(IF($BI$7&gt;=$C93+1, (-FV(InflationRate,$BI$7,,$F93)), 0)),0)</f>
        <v>0</v>
      </c>
      <c r="BL93" s="176">
        <f>IF($C93&gt;0,(IF($BI$7&gt;=$C93+1, (-FV(InflationRate,$BI$7,,$G93)), 0)),0)</f>
        <v>0</v>
      </c>
      <c r="BM93" s="168">
        <f>IF($C93&gt;0,(IF($C93=$BM$7,(-FV(InflationRate,$BM$7,,$D93)),0)),0)</f>
        <v>0</v>
      </c>
      <c r="BN93" s="149">
        <f>IF($C93&gt;0,(IF($BM$7&gt;=$C93+1, (-FV(InflationRate,$BM$7,,$E93)), 0)),0)</f>
        <v>0</v>
      </c>
      <c r="BO93" s="149">
        <f>IF($C93&gt;0,(IF($BM$7&gt;=$C93+1, (-FV(InflationRate,$BM$7,,$F93)), 0)),0)</f>
        <v>0</v>
      </c>
      <c r="BP93" s="157">
        <f>IF($C93&gt;0,(IF($BM$7&gt;=$C93+1, (-FV(InflationRate,$BM$7,,$G93)), 0)),0)</f>
        <v>0</v>
      </c>
      <c r="BQ93" s="160">
        <f>IF($C93&gt;0,(IF($C93=$BQ$7,(-FV(InflationRate,$BQ$7,,$D93)),0)),0)</f>
        <v>0</v>
      </c>
      <c r="BR93" s="150">
        <f>IF($C93&gt;0,(IF($BQ$7&gt;=$C93+1, (-FV(InflationRate,$BQ$7,,$E93)), 0)),0)</f>
        <v>0</v>
      </c>
      <c r="BS93" s="150">
        <f>IF($C93&gt;0,(IF($BQ$7&gt;=$C93+1, (-FV(InflationRate,$BQ$7,,$F93)), 0)),0)</f>
        <v>0</v>
      </c>
      <c r="BT93" s="176">
        <f>IF($C93&gt;0,(IF($BQ$7&gt;=$C93+1, (-FV(InflationRate,$BQ$7,,$G93)), 0)),0)</f>
        <v>0</v>
      </c>
      <c r="BU93" s="168">
        <f>IF($C93&gt;0,(IF($C93=$BU$7,(-FV(InflationRate,$BU$7,,$D93)),0)),0)</f>
        <v>0</v>
      </c>
      <c r="BV93" s="149">
        <f>IF($C93&gt;0,(IF($BU$7&gt;=$C93+1, (-FV(InflationRate,$BU$7,,$E93)), 0)),0)</f>
        <v>0</v>
      </c>
      <c r="BW93" s="149">
        <f>IF($C93&gt;0,(IF($BU$7&gt;=$C93+1, (-FV(InflationRate,$BU$7,,$F93)), 0)),0)</f>
        <v>0</v>
      </c>
      <c r="BX93" s="157">
        <f>IF($C93&gt;0,(IF($BU$7&gt;=$C93+1, (-FV(InflationRate,$BU$7,,$G93)), 0)),0)</f>
        <v>0</v>
      </c>
      <c r="BY93" s="160">
        <f>IF($C93&gt;0,(IF($C93=$BY$7,(-FV(InflationRate,$BY$7,,$D93)),0)),0)</f>
        <v>0</v>
      </c>
      <c r="BZ93" s="150">
        <f>IF($C93&gt;0,(IF($BY$7&gt;=$C93+1, (-FV(InflationRate,$BY$7,,$E93)), 0)),0)</f>
        <v>0</v>
      </c>
      <c r="CA93" s="150">
        <f>IF($C93&gt;0,(IF($BY$7&gt;=$C93+1, (-FV(InflationRate,$BY$7,,$F93)), 0)),0)</f>
        <v>0</v>
      </c>
      <c r="CB93" s="176">
        <f>IF($C93&gt;0,(IF($BY$7&gt;=$C93+1, (-FV(InflationRate,$BY$7,,$G93)), 0)),0)</f>
        <v>0</v>
      </c>
      <c r="CC93" s="168">
        <f>IF($C93&gt;0,(IF($C93=$CC$7,(-FV(InflationRate,$CC$7,,$D93)),0)),0)</f>
        <v>0</v>
      </c>
      <c r="CD93" s="149">
        <f>IF($C93&gt;0,(IF($CC$7&gt;=$C93+1, (-FV(InflationRate,$CC$7,,$E93)), 0)),0)</f>
        <v>0</v>
      </c>
      <c r="CE93" s="149">
        <f>IF($C93&gt;0,(IF($CC$7&gt;=$C93+1, (-FV(InflationRate,$CC$7,,$F93)), 0)),0)</f>
        <v>0</v>
      </c>
      <c r="CF93" s="157">
        <f>IF($C93&gt;0,(IF($CC$7&gt;=$C93+1, (-FV(InflationRate,$CC$7,,$G93)), 0)),0)</f>
        <v>0</v>
      </c>
      <c r="CG93" s="160">
        <f>IF($C93&gt;0,(IF($C93=$CG$7,(-FV(InflationRate,$CG$7,,$D93)),0)),0)</f>
        <v>0</v>
      </c>
      <c r="CH93" s="150">
        <f>IF($C93&gt;0,(IF($CG$7&gt;=$C93+1, (-FV(InflationRate,$CG$7,,$E93)), 0)),0)</f>
        <v>0</v>
      </c>
      <c r="CI93" s="150">
        <f>IF($C93&gt;0,(IF($CG$7&gt;=$C93+1, (-FV(InflationRate,$CG$7,,$F93)), 0)),0)</f>
        <v>0</v>
      </c>
      <c r="CJ93" s="176">
        <f>IF($C93&gt;0,(IF($CG$7&gt;=$C93+1, (-FV(InflationRate,$CG$7,,$G93)), 0)),0)</f>
        <v>0</v>
      </c>
      <c r="CK93" s="168">
        <f>IF($C93&gt;0,(IF($C93=$CK$7,(-FV(InflationRate,$CK$7,,$D93)),0)),0)</f>
        <v>0</v>
      </c>
      <c r="CL93" s="149">
        <f>IF($C93&gt;0,(IF($CK$7&gt;=$C93+1, (-FV(InflationRate,$CK$7,,$E93)), 0)),0)</f>
        <v>0</v>
      </c>
      <c r="CM93" s="149">
        <f>IF($C93&gt;0,(IF($CK$7&gt;=$C93+1, (-FV(InflationRate,$CK$7,,$F93)), 0)),0)</f>
        <v>0</v>
      </c>
      <c r="CN93" s="157">
        <f>IF($C93&gt;0,(IF($CK$7&gt;=$C93+1, (-FV(InflationRate,$CK$7,,$G93)), 0)),0)</f>
        <v>0</v>
      </c>
      <c r="CO93" s="160">
        <f>IF($C93&gt;0,(IF($C93=$CO$7,(-FV(InflationRate,$CO$7,,$D93)),0)),0)</f>
        <v>0</v>
      </c>
      <c r="CP93" s="150">
        <f>IF($C93&gt;0,(IF($CO$7&gt;=$C93+1, (-FV(InflationRate,$CO$7,,$E93)), 0)),0)</f>
        <v>0</v>
      </c>
      <c r="CQ93" s="150">
        <f>IF($C93&gt;0,(IF($CO$7&gt;=$C93+1, (-FV(InflationRate,$CO$7,,$F93)), 0)),0)</f>
        <v>0</v>
      </c>
      <c r="CR93" s="176">
        <f>IF($C93&gt;0,(IF($CO$7&gt;=$C93+1, (-FV(InflationRate,$CO$7,,$G93)), 0)),0)</f>
        <v>0</v>
      </c>
      <c r="CS93" s="168">
        <f>IF($C93&gt;0,(IF($C93=$CS$7,(-FV(InflationRate,$CS$7,,$D93)),0)),0)</f>
        <v>0</v>
      </c>
      <c r="CT93" s="149">
        <f>IF($C93&gt;0,(IF($CS$7&gt;=$C93+1, (-FV(InflationRate,$CS$7,,$E93)), 0)),0)</f>
        <v>0</v>
      </c>
      <c r="CU93" s="149">
        <f>IF($C93&gt;0,(IF($CS$7&gt;=$C93+1, (-FV(InflationRate,$CS$7,,$F93)), 0)),0)</f>
        <v>0</v>
      </c>
      <c r="CV93" s="157">
        <f>IF($C93&gt;0,(IF($CS$7&gt;=$C93+1, (-FV(InflationRate,$CS$7,,$G93)), 0)),0)</f>
        <v>0</v>
      </c>
      <c r="CW93" s="160">
        <f>IF($C93&gt;0,(IF($C93=$CW$7,(-FV(InflationRate,$CW$7,,$D93)),0)),0)</f>
        <v>0</v>
      </c>
      <c r="CX93" s="150">
        <f>IF($C93&gt;0,(IF($CW$7&gt;=$C93+1, (-FV(InflationRate,$CW$7,,$E93)), 0)),0)</f>
        <v>0</v>
      </c>
      <c r="CY93" s="150">
        <f>IF($C93&gt;0,(IF($CW$7&gt;=$C93+1, (-FV(InflationRate,$CW$7,,$F93)), 0)),0)</f>
        <v>0</v>
      </c>
      <c r="CZ93" s="176">
        <f>IF($C93&gt;0,(IF($CW$7&gt;=$C93+1, (-FV(InflationRate,$CW$7,,$G93)), 0)),0)</f>
        <v>0</v>
      </c>
      <c r="DA93" s="168">
        <f>IF($C93&gt;0,(IF($C93=$DA$7,(-FV(InflationRate,$DA$7,,$D93)),0)),0)</f>
        <v>0</v>
      </c>
      <c r="DB93" s="149">
        <f>IF($C93&gt;0,(IF($DA$7&gt;=$C93+1, (-FV(InflationRate,$DA$7,,$E93)), 0)),0)</f>
        <v>0</v>
      </c>
      <c r="DC93" s="149">
        <f>IF($C93&gt;0,(IF($DA$7&gt;=$C93+1, (-FV(InflationRate,$DA$7,,$F93)), 0)),0)</f>
        <v>0</v>
      </c>
      <c r="DD93" s="157">
        <f>IF($C93&gt;0,(IF($DA$7&gt;=$C93+1, (-FV(InflationRate,$DA$7,,$G93)), 0)),0)</f>
        <v>0</v>
      </c>
    </row>
    <row r="94" spans="2:108" ht="12.75" hidden="1" customHeight="1" x14ac:dyDescent="0.2">
      <c r="B94" s="182" t="s">
        <v>217</v>
      </c>
      <c r="C94" s="189"/>
      <c r="D94" s="168"/>
      <c r="E94" s="149"/>
      <c r="F94" s="149"/>
      <c r="G94" s="149"/>
      <c r="H94" s="168"/>
      <c r="I94" s="600"/>
      <c r="J94" s="600"/>
      <c r="K94" s="600"/>
      <c r="L94" s="600"/>
      <c r="M94" s="600"/>
      <c r="N94" s="600"/>
      <c r="O94" s="600"/>
      <c r="P94" s="600"/>
      <c r="Q94" s="600"/>
      <c r="R94" s="600"/>
      <c r="S94" s="600"/>
      <c r="T94" s="600"/>
      <c r="U94" s="600"/>
      <c r="V94" s="600"/>
      <c r="W94" s="600"/>
      <c r="X94" s="600"/>
      <c r="Y94" s="600"/>
      <c r="Z94" s="600"/>
      <c r="AA94" s="600"/>
      <c r="AB94" s="601"/>
      <c r="AC94" s="160"/>
      <c r="AD94" s="150"/>
      <c r="AE94" s="150"/>
      <c r="AF94" s="165"/>
      <c r="AG94" s="168"/>
      <c r="AH94" s="149"/>
      <c r="AI94" s="149"/>
      <c r="AJ94" s="171"/>
      <c r="AK94" s="160"/>
      <c r="AL94" s="150"/>
      <c r="AM94" s="150"/>
      <c r="AN94" s="165"/>
      <c r="AO94" s="168"/>
      <c r="AP94" s="149"/>
      <c r="AQ94" s="149"/>
      <c r="AR94" s="157"/>
      <c r="AS94" s="160"/>
      <c r="AT94" s="150"/>
      <c r="AU94" s="150"/>
      <c r="AV94" s="165"/>
      <c r="AW94" s="168"/>
      <c r="AX94" s="149"/>
      <c r="AY94" s="149"/>
      <c r="AZ94" s="157"/>
      <c r="BA94" s="160"/>
      <c r="BB94" s="150"/>
      <c r="BC94" s="150"/>
      <c r="BD94" s="176"/>
      <c r="BE94" s="168"/>
      <c r="BF94" s="149"/>
      <c r="BG94" s="149"/>
      <c r="BH94" s="171"/>
      <c r="BI94" s="160"/>
      <c r="BJ94" s="150"/>
      <c r="BK94" s="150"/>
      <c r="BL94" s="176"/>
      <c r="BM94" s="168"/>
      <c r="BN94" s="149"/>
      <c r="BO94" s="149"/>
      <c r="BP94" s="157"/>
      <c r="BQ94" s="160"/>
      <c r="BR94" s="150"/>
      <c r="BS94" s="150"/>
      <c r="BT94" s="176"/>
      <c r="BU94" s="168"/>
      <c r="BV94" s="149"/>
      <c r="BW94" s="149"/>
      <c r="BX94" s="157"/>
      <c r="BY94" s="160"/>
      <c r="BZ94" s="150"/>
      <c r="CA94" s="150"/>
      <c r="CB94" s="176"/>
      <c r="CC94" s="168"/>
      <c r="CD94" s="149"/>
      <c r="CE94" s="149"/>
      <c r="CF94" s="157"/>
      <c r="CG94" s="160"/>
      <c r="CH94" s="150"/>
      <c r="CI94" s="150"/>
      <c r="CJ94" s="176"/>
      <c r="CK94" s="168"/>
      <c r="CL94" s="149"/>
      <c r="CM94" s="149"/>
      <c r="CN94" s="157"/>
      <c r="CO94" s="160"/>
      <c r="CP94" s="150"/>
      <c r="CQ94" s="150"/>
      <c r="CR94" s="176"/>
      <c r="CS94" s="168"/>
      <c r="CT94" s="149"/>
      <c r="CU94" s="149"/>
      <c r="CV94" s="157"/>
      <c r="CW94" s="160"/>
      <c r="CX94" s="150"/>
      <c r="CY94" s="150"/>
      <c r="CZ94" s="176"/>
      <c r="DA94" s="168"/>
      <c r="DB94" s="149"/>
      <c r="DC94" s="149"/>
      <c r="DD94" s="157"/>
    </row>
    <row r="95" spans="2:108" ht="12.75" hidden="1" customHeight="1" x14ac:dyDescent="0.2">
      <c r="B95" s="183" t="s">
        <v>220</v>
      </c>
      <c r="C95" s="556"/>
      <c r="D95" s="557">
        <v>0</v>
      </c>
      <c r="E95" s="149"/>
      <c r="F95" s="149"/>
      <c r="G95" s="149"/>
      <c r="H95" s="168">
        <f>SUM(I95:AB95)</f>
        <v>0</v>
      </c>
      <c r="I95" s="610">
        <f>-PV(InterestRate,I$8,,(SUM(AC95:AF95)))</f>
        <v>0</v>
      </c>
      <c r="J95" s="610">
        <f>-PV(InterestRate,J$8,,(SUM(AG95:AJ95)))</f>
        <v>0</v>
      </c>
      <c r="K95" s="610">
        <f>-PV(InterestRate,K$8,,(SUM(AK95:AN95)))</f>
        <v>0</v>
      </c>
      <c r="L95" s="610">
        <f>-PV(InterestRate,L$8,,(SUM(AO95:AR95)))</f>
        <v>0</v>
      </c>
      <c r="M95" s="610">
        <f>-PV(InterestRate,M$8,,(SUM(AS95:AV95)))</f>
        <v>0</v>
      </c>
      <c r="N95" s="610">
        <f>-PV(InterestRate,N$8,,(SUM(AW95:AZ95)))</f>
        <v>0</v>
      </c>
      <c r="O95" s="610">
        <f>-PV(InterestRate,O$8,,(SUM(BA95:BD95)))</f>
        <v>0</v>
      </c>
      <c r="P95" s="610">
        <f>-PV(InterestRate,P$8,,(SUM(BE95:BH95)))</f>
        <v>0</v>
      </c>
      <c r="Q95" s="610">
        <f>-PV(InterestRate,Q$8,,(SUM(BI95:BL95)))</f>
        <v>0</v>
      </c>
      <c r="R95" s="610">
        <f>-PV(InterestRate,R$8,,(SUM(BM95:BP95)))</f>
        <v>0</v>
      </c>
      <c r="S95" s="610">
        <f>-PV(InterestRate,S$8,,(SUM(BQ95:BT95)))</f>
        <v>0</v>
      </c>
      <c r="T95" s="610">
        <f>-PV(InterestRate,T$8,,(SUM(BU95:BX95)))</f>
        <v>0</v>
      </c>
      <c r="U95" s="610">
        <f>-PV(InterestRate,U$8,,(SUM(BY95:CB95)))</f>
        <v>0</v>
      </c>
      <c r="V95" s="610">
        <f>-PV(InterestRate,V$8,,(SUM(CC95:CF95)))</f>
        <v>0</v>
      </c>
      <c r="W95" s="610">
        <f>-PV(InterestRate,W$8,,(SUM(CG95:CJ95)))</f>
        <v>0</v>
      </c>
      <c r="X95" s="610">
        <f>-PV(InterestRate,X$8,,(SUM(CK95:CN95)))</f>
        <v>0</v>
      </c>
      <c r="Y95" s="610">
        <f>-PV(InterestRate,Y$8,,(SUM(CO95:CR95)))</f>
        <v>0</v>
      </c>
      <c r="Z95" s="610">
        <f>-PV(InterestRate,Z$8,,(SUM(CS95:CV95)))</f>
        <v>0</v>
      </c>
      <c r="AA95" s="610">
        <f>-PV(InterestRate,AA$8,,(SUM(CW95:CZ95)))</f>
        <v>0</v>
      </c>
      <c r="AB95" s="611">
        <f>-PV(InterestRate,AB$8,,(SUM(DA95:DD95)))</f>
        <v>0</v>
      </c>
      <c r="AC95" s="160">
        <f>IF($C95&gt;0,(IF($C95=$AC$7,$D95,0)),0)</f>
        <v>0</v>
      </c>
      <c r="AD95" s="150">
        <f>IF($C95&gt;0,(IF($AC$7&gt;=$C95+1,$E95,0)),0)</f>
        <v>0</v>
      </c>
      <c r="AE95" s="150">
        <f>IF($C95&gt;0,(IF($C95=$AC$7,$F95,0)),0)</f>
        <v>0</v>
      </c>
      <c r="AF95" s="165">
        <f>IF($C95&gt;0,(IF($AC$7&gt;=$C95+1,$G95,0)),0)</f>
        <v>0</v>
      </c>
      <c r="AG95" s="168">
        <f>IF($C95&gt;0,(IF($C95=$AG$7,(-FV(InflationRate,$AG$7,,$D95)),0)),0)</f>
        <v>0</v>
      </c>
      <c r="AH95" s="149">
        <f>IF($C95&gt;0,(IF($AG$7&gt;=$C95+1, (-FV(InflationRate,$AG$7,,$E95)), 0)),0)</f>
        <v>0</v>
      </c>
      <c r="AI95" s="149">
        <f>IF($C95&gt;0,(IF($AG$7&gt;=$C95+1, (-FV(InflationRate,$AG$7,,$F95)), 0)),0)</f>
        <v>0</v>
      </c>
      <c r="AJ95" s="171">
        <f>IF($C95&gt;0,(IF($AG$7&gt;=$C95+1, (-FV(InflationRate,$AG$7,,$G95)), 0)),0)</f>
        <v>0</v>
      </c>
      <c r="AK95" s="160">
        <f>IF($C95&gt;0,(IF($C95=$AK$7,(-FV(InflationRate,$AK$7,,$D95)),0)),0)</f>
        <v>0</v>
      </c>
      <c r="AL95" s="150">
        <f>IF($C95&gt;0,(IF($AK$7&gt;=$C95+1, (-FV(InflationRate,$AK$7,,$E95)), 0)),0)</f>
        <v>0</v>
      </c>
      <c r="AM95" s="150">
        <f>IF($C95&gt;0,(IF($AK$7&gt;=$C95+1, (-FV(InflationRate,$AK$7,,$F95)), 0)),0)</f>
        <v>0</v>
      </c>
      <c r="AN95" s="165">
        <f>IF($C95&gt;0,(IF($AK$7&gt;=$C95+1, (-FV(InflationRate,$AK$7,,$G95)), 0)),0)</f>
        <v>0</v>
      </c>
      <c r="AO95" s="168">
        <f>IF($C95&gt;0,(IF($C95=$AO$7,(-FV(InflationRate,$AO$7,,$D95)),0)),0)</f>
        <v>0</v>
      </c>
      <c r="AP95" s="149">
        <f>IF($C95&gt;0,(IF($AO$7&gt;=$C95+1, (-FV(InflationRate,$AO$7,,$E95)), 0)),0)</f>
        <v>0</v>
      </c>
      <c r="AQ95" s="149">
        <f>IF($C95&gt;0,(IF($AO$7&gt;=$C95+1, (-FV(InflationRate,$AO$7,,$F95)), 0)),0)</f>
        <v>0</v>
      </c>
      <c r="AR95" s="157">
        <f>IF($C95&gt;0,(IF($AO$7&gt;=$C95+1, (-FV(InflationRate,$AO$7,,$G95)), 0)),0)</f>
        <v>0</v>
      </c>
      <c r="AS95" s="160">
        <f>IF($C95&gt;0,(IF($C95=$AS$7,(-FV(InflationRate,$AS$7,,$D95)),0)),0)</f>
        <v>0</v>
      </c>
      <c r="AT95" s="150">
        <f>IF($C95&gt;0,(IF($AS$7&gt;=$C95+1, (-FV(InflationRate,$AS$7,,$E95)), 0)),0)</f>
        <v>0</v>
      </c>
      <c r="AU95" s="150">
        <f>IF($C95&gt;0,(IF($AS$7&gt;=$C95+1, (-FV(InflationRate,$AS$7,,$F95)), 0)),0)</f>
        <v>0</v>
      </c>
      <c r="AV95" s="165">
        <f>IF($C95&gt;0,(IF($AS$7&gt;=$C95+1, (-FV(InflationRate,$AS$7,,$G95)), 0)),0)</f>
        <v>0</v>
      </c>
      <c r="AW95" s="168">
        <f>IF($C95&gt;0,(IF($C95=$AW$7,(-FV(InflationRate,$AW$7,,$D95)),0)),0)</f>
        <v>0</v>
      </c>
      <c r="AX95" s="149">
        <f>IF($C95&gt;0,(IF($AW$7&gt;=$C95+1, (-FV(InflationRate,$AW$7,,$E95)), 0)),0)</f>
        <v>0</v>
      </c>
      <c r="AY95" s="149">
        <f>IF($C95&gt;0,(IF($AW$7&gt;=$C95+1, (-FV(InflationRate,$AW$7,,$F95)), 0)),0)</f>
        <v>0</v>
      </c>
      <c r="AZ95" s="157">
        <f>IF($C95&gt;0,(IF($AW$7&gt;=$C95+1, (-FV(InflationRate,$AW$7,,$G95)), 0)),0)</f>
        <v>0</v>
      </c>
      <c r="BA95" s="160">
        <f>IF($C95&gt;0,(IF($C95=$BA$7,(-FV(InflationRate,$BA$7,,$D95)),0)),0)</f>
        <v>0</v>
      </c>
      <c r="BB95" s="150">
        <f>IF($C95&gt;0,(IF($BA$7&gt;=$C95+1, (-FV(InflationRate,$BA$7,,$E95)), 0)),0)</f>
        <v>0</v>
      </c>
      <c r="BC95" s="150">
        <f>IF($C95&gt;0,(IF($BA$7&gt;=$C95+1, (-FV(InflationRate,$BA$7,,$F95)), 0)),0)</f>
        <v>0</v>
      </c>
      <c r="BD95" s="176">
        <f>IF($C95&gt;0,(IF($BA$7&gt;=$C95+1, (-FV(InflationRate,$BA$7,,$G95)), 0)),0)</f>
        <v>0</v>
      </c>
      <c r="BE95" s="168">
        <f>IF($C95&gt;0,(IF($C95=$BE$7,(-FV(InflationRate,$BE$7,,$D95)),0)),0)</f>
        <v>0</v>
      </c>
      <c r="BF95" s="149">
        <f>IF($C95&gt;0,(IF($BE$7&gt;=$C95+1, (-FV(InflationRate,$BE$7,,$E95)), 0)),0)</f>
        <v>0</v>
      </c>
      <c r="BG95" s="149">
        <f>IF($C95&gt;0,(IF($BE$7&gt;=$C95+1, (-FV(InflationRate,$BE$7,,$F95)), 0)),0)</f>
        <v>0</v>
      </c>
      <c r="BH95" s="171">
        <f>IF($C95&gt;0,(IF($BE$7&gt;=$C95+1, (-FV(InflationRate,$BE$7,,$G95)), 0)),0)</f>
        <v>0</v>
      </c>
      <c r="BI95" s="160">
        <f>IF($C95&gt;0,(IF($C95=$BI$7,(-FV(InflationRate,$BI$7,,$D95)),0)),0)</f>
        <v>0</v>
      </c>
      <c r="BJ95" s="150">
        <f>IF($C95&gt;0,(IF($BI$7&gt;=$C95+1, (-FV(InflationRate,$BI$7,,$E95)), 0)),0)</f>
        <v>0</v>
      </c>
      <c r="BK95" s="150">
        <f>IF($C95&gt;0,(IF($BI$7&gt;=$C95+1, (-FV(InflationRate,$BI$7,,$F95)), 0)),0)</f>
        <v>0</v>
      </c>
      <c r="BL95" s="176">
        <f>IF($C95&gt;0,(IF($BI$7&gt;=$C95+1, (-FV(InflationRate,$BI$7,,$G95)), 0)),0)</f>
        <v>0</v>
      </c>
      <c r="BM95" s="168">
        <f>IF($C95&gt;0,(IF($C95=$BM$7,(-FV(InflationRate,$BM$7,,$D95)),0)),0)</f>
        <v>0</v>
      </c>
      <c r="BN95" s="149">
        <f>IF($C95&gt;0,(IF($BM$7&gt;=$C95+1, (-FV(InflationRate,$BM$7,,$E95)), 0)),0)</f>
        <v>0</v>
      </c>
      <c r="BO95" s="149">
        <f>IF($C95&gt;0,(IF($BM$7&gt;=$C95+1, (-FV(InflationRate,$BM$7,,$F95)), 0)),0)</f>
        <v>0</v>
      </c>
      <c r="BP95" s="157">
        <f>IF($C95&gt;0,(IF($BM$7&gt;=$C95+1, (-FV(InflationRate,$BM$7,,$G95)), 0)),0)</f>
        <v>0</v>
      </c>
      <c r="BQ95" s="160">
        <f>IF($C95&gt;0,(IF($C95=$BQ$7,(-FV(InflationRate,$BQ$7,,$D95)),0)),0)</f>
        <v>0</v>
      </c>
      <c r="BR95" s="150">
        <f>IF($C95&gt;0,(IF($BQ$7&gt;=$C95+1, (-FV(InflationRate,$BQ$7,,$E95)), 0)),0)</f>
        <v>0</v>
      </c>
      <c r="BS95" s="150">
        <f>IF($C95&gt;0,(IF($BQ$7&gt;=$C95+1, (-FV(InflationRate,$BQ$7,,$F95)), 0)),0)</f>
        <v>0</v>
      </c>
      <c r="BT95" s="176">
        <f>IF($C95&gt;0,(IF($BQ$7&gt;=$C95+1, (-FV(InflationRate,$BQ$7,,$G95)), 0)),0)</f>
        <v>0</v>
      </c>
      <c r="BU95" s="168">
        <f>IF($C95&gt;0,(IF($C95=$BU$7,(-FV(InflationRate,$BU$7,,$D95)),0)),0)</f>
        <v>0</v>
      </c>
      <c r="BV95" s="149">
        <f>IF($C95&gt;0,(IF($BU$7&gt;=$C95+1, (-FV(InflationRate,$BU$7,,$E95)), 0)),0)</f>
        <v>0</v>
      </c>
      <c r="BW95" s="149">
        <f>IF($C95&gt;0,(IF($BU$7&gt;=$C95+1, (-FV(InflationRate,$BU$7,,$F95)), 0)),0)</f>
        <v>0</v>
      </c>
      <c r="BX95" s="157">
        <f>IF($C95&gt;0,(IF($BU$7&gt;=$C95+1, (-FV(InflationRate,$BU$7,,$G95)), 0)),0)</f>
        <v>0</v>
      </c>
      <c r="BY95" s="160">
        <f>IF($C95&gt;0,(IF($C95=$BY$7,(-FV(InflationRate,$BY$7,,$D95)),0)),0)</f>
        <v>0</v>
      </c>
      <c r="BZ95" s="150">
        <f>IF($C95&gt;0,(IF($BY$7&gt;=$C95+1, (-FV(InflationRate,$BY$7,,$E95)), 0)),0)</f>
        <v>0</v>
      </c>
      <c r="CA95" s="150">
        <f>IF($C95&gt;0,(IF($BY$7&gt;=$C95+1, (-FV(InflationRate,$BY$7,,$F95)), 0)),0)</f>
        <v>0</v>
      </c>
      <c r="CB95" s="176">
        <f>IF($C95&gt;0,(IF($BY$7&gt;=$C95+1, (-FV(InflationRate,$BY$7,,$G95)), 0)),0)</f>
        <v>0</v>
      </c>
      <c r="CC95" s="168">
        <f>IF($C95&gt;0,(IF($C95=$CC$7,(-FV(InflationRate,$CC$7,,$D95)),0)),0)</f>
        <v>0</v>
      </c>
      <c r="CD95" s="149">
        <f>IF($C95&gt;0,(IF($CC$7&gt;=$C95+1, (-FV(InflationRate,$CC$7,,$E95)), 0)),0)</f>
        <v>0</v>
      </c>
      <c r="CE95" s="149">
        <f>IF($C95&gt;0,(IF($CC$7&gt;=$C95+1, (-FV(InflationRate,$CC$7,,$F95)), 0)),0)</f>
        <v>0</v>
      </c>
      <c r="CF95" s="157">
        <f>IF($C95&gt;0,(IF($CC$7&gt;=$C95+1, (-FV(InflationRate,$CC$7,,$G95)), 0)),0)</f>
        <v>0</v>
      </c>
      <c r="CG95" s="160">
        <f>IF($C95&gt;0,(IF($C95=$CG$7,(-FV(InflationRate,$CG$7,,$D95)),0)),0)</f>
        <v>0</v>
      </c>
      <c r="CH95" s="150">
        <f>IF($C95&gt;0,(IF($CG$7&gt;=$C95+1, (-FV(InflationRate,$CG$7,,$E95)), 0)),0)</f>
        <v>0</v>
      </c>
      <c r="CI95" s="150">
        <f>IF($C95&gt;0,(IF($CG$7&gt;=$C95+1, (-FV(InflationRate,$CG$7,,$F95)), 0)),0)</f>
        <v>0</v>
      </c>
      <c r="CJ95" s="176">
        <f>IF($C95&gt;0,(IF($CG$7&gt;=$C95+1, (-FV(InflationRate,$CG$7,,$G95)), 0)),0)</f>
        <v>0</v>
      </c>
      <c r="CK95" s="168">
        <f>IF($C95&gt;0,(IF($C95=$CK$7,(-FV(InflationRate,$CK$7,,$D95)),0)),0)</f>
        <v>0</v>
      </c>
      <c r="CL95" s="149">
        <f>IF($C95&gt;0,(IF($CK$7&gt;=$C95+1, (-FV(InflationRate,$CK$7,,$E95)), 0)),0)</f>
        <v>0</v>
      </c>
      <c r="CM95" s="149">
        <f>IF($C95&gt;0,(IF($CK$7&gt;=$C95+1, (-FV(InflationRate,$CK$7,,$F95)), 0)),0)</f>
        <v>0</v>
      </c>
      <c r="CN95" s="157">
        <f>IF($C95&gt;0,(IF($CK$7&gt;=$C95+1, (-FV(InflationRate,$CK$7,,$G95)), 0)),0)</f>
        <v>0</v>
      </c>
      <c r="CO95" s="160">
        <f>IF($C95&gt;0,(IF($C95=$CO$7,(-FV(InflationRate,$CO$7,,$D95)),0)),0)</f>
        <v>0</v>
      </c>
      <c r="CP95" s="150">
        <f>IF($C95&gt;0,(IF($CO$7&gt;=$C95+1, (-FV(InflationRate,$CO$7,,$E95)), 0)),0)</f>
        <v>0</v>
      </c>
      <c r="CQ95" s="150">
        <f>IF($C95&gt;0,(IF($CO$7&gt;=$C95+1, (-FV(InflationRate,$CO$7,,$F95)), 0)),0)</f>
        <v>0</v>
      </c>
      <c r="CR95" s="176">
        <f>IF($C95&gt;0,(IF($CO$7&gt;=$C95+1, (-FV(InflationRate,$CO$7,,$G95)), 0)),0)</f>
        <v>0</v>
      </c>
      <c r="CS95" s="168">
        <f>IF($C95&gt;0,(IF($C95=$CS$7,(-FV(InflationRate,$CS$7,,$D95)),0)),0)</f>
        <v>0</v>
      </c>
      <c r="CT95" s="149">
        <f>IF($C95&gt;0,(IF($CS$7&gt;=$C95+1, (-FV(InflationRate,$CS$7,,$E95)), 0)),0)</f>
        <v>0</v>
      </c>
      <c r="CU95" s="149">
        <f>IF($C95&gt;0,(IF($CS$7&gt;=$C95+1, (-FV(InflationRate,$CS$7,,$F95)), 0)),0)</f>
        <v>0</v>
      </c>
      <c r="CV95" s="157">
        <f>IF($C95&gt;0,(IF($CS$7&gt;=$C95+1, (-FV(InflationRate,$CS$7,,$G95)), 0)),0)</f>
        <v>0</v>
      </c>
      <c r="CW95" s="160">
        <f>IF($C95&gt;0,(IF($C95=$CW$7,(-FV(InflationRate,$CW$7,,$D95)),0)),0)</f>
        <v>0</v>
      </c>
      <c r="CX95" s="150">
        <f>IF($C95&gt;0,(IF($CW$7&gt;=$C95+1, (-FV(InflationRate,$CW$7,,$E95)), 0)),0)</f>
        <v>0</v>
      </c>
      <c r="CY95" s="150">
        <f>IF($C95&gt;0,(IF($CW$7&gt;=$C95+1, (-FV(InflationRate,$CW$7,,$F95)), 0)),0)</f>
        <v>0</v>
      </c>
      <c r="CZ95" s="176">
        <f>IF($C95&gt;0,(IF($CW$7&gt;=$C95+1, (-FV(InflationRate,$CW$7,,$G95)), 0)),0)</f>
        <v>0</v>
      </c>
      <c r="DA95" s="168">
        <f>IF($C95&gt;0,(IF($C95=$DA$7,(-FV(InflationRate,$DA$7,,$D95)),0)),0)</f>
        <v>0</v>
      </c>
      <c r="DB95" s="149">
        <f>IF($C95&gt;0,(IF($DA$7&gt;=$C95+1, (-FV(InflationRate,$DA$7,,$E95)), 0)),0)</f>
        <v>0</v>
      </c>
      <c r="DC95" s="149">
        <f>IF($C95&gt;0,(IF($DA$7&gt;=$C95+1, (-FV(InflationRate,$DA$7,,$F95)), 0)),0)</f>
        <v>0</v>
      </c>
      <c r="DD95" s="157">
        <f>IF($C95&gt;0,(IF($DA$7&gt;=$C95+1, (-FV(InflationRate,$DA$7,,$G95)), 0)),0)</f>
        <v>0</v>
      </c>
    </row>
    <row r="96" spans="2:108" ht="12.75" hidden="1" customHeight="1" x14ac:dyDescent="0.2">
      <c r="B96" s="183" t="s">
        <v>270</v>
      </c>
      <c r="C96" s="556"/>
      <c r="D96" s="557">
        <v>0</v>
      </c>
      <c r="E96" s="558">
        <v>0</v>
      </c>
      <c r="F96" s="149"/>
      <c r="G96" s="558">
        <v>0</v>
      </c>
      <c r="H96" s="168">
        <f>SUM(I96:AB96)</f>
        <v>0</v>
      </c>
      <c r="I96" s="610">
        <f>-PV(InterestRate,I$8,,(SUM(AC96:AF96)))</f>
        <v>0</v>
      </c>
      <c r="J96" s="610">
        <f>-PV(InterestRate,J$8,,(SUM(AG96:AJ96)))</f>
        <v>0</v>
      </c>
      <c r="K96" s="610">
        <f>-PV(InterestRate,K$8,,(SUM(AK96:AN96)))</f>
        <v>0</v>
      </c>
      <c r="L96" s="610">
        <f>-PV(InterestRate,L$8,,(SUM(AO96:AR96)))</f>
        <v>0</v>
      </c>
      <c r="M96" s="610">
        <f>-PV(InterestRate,M$8,,(SUM(AS96:AV96)))</f>
        <v>0</v>
      </c>
      <c r="N96" s="610">
        <f>-PV(InterestRate,N$8,,(SUM(AW96:AZ96)))</f>
        <v>0</v>
      </c>
      <c r="O96" s="610">
        <f>-PV(InterestRate,O$8,,(SUM(BA96:BD96)))</f>
        <v>0</v>
      </c>
      <c r="P96" s="610">
        <f>-PV(InterestRate,P$8,,(SUM(BE96:BH96)))</f>
        <v>0</v>
      </c>
      <c r="Q96" s="610">
        <f>-PV(InterestRate,Q$8,,(SUM(BI96:BL96)))</f>
        <v>0</v>
      </c>
      <c r="R96" s="610">
        <f>-PV(InterestRate,R$8,,(SUM(BM96:BP96)))</f>
        <v>0</v>
      </c>
      <c r="S96" s="610">
        <f>-PV(InterestRate,S$8,,(SUM(BQ96:BT96)))</f>
        <v>0</v>
      </c>
      <c r="T96" s="610">
        <f>-PV(InterestRate,T$8,,(SUM(BU96:BX96)))</f>
        <v>0</v>
      </c>
      <c r="U96" s="610">
        <f>-PV(InterestRate,U$8,,(SUM(BY96:CB96)))</f>
        <v>0</v>
      </c>
      <c r="V96" s="610">
        <f>-PV(InterestRate,V$8,,(SUM(CC96:CF96)))</f>
        <v>0</v>
      </c>
      <c r="W96" s="610">
        <f>-PV(InterestRate,W$8,,(SUM(CG96:CJ96)))</f>
        <v>0</v>
      </c>
      <c r="X96" s="610">
        <f>-PV(InterestRate,X$8,,(SUM(CK96:CN96)))</f>
        <v>0</v>
      </c>
      <c r="Y96" s="610">
        <f>-PV(InterestRate,Y$8,,(SUM(CO96:CR96)))</f>
        <v>0</v>
      </c>
      <c r="Z96" s="610">
        <f>-PV(InterestRate,Z$8,,(SUM(CS96:CV96)))</f>
        <v>0</v>
      </c>
      <c r="AA96" s="610">
        <f>-PV(InterestRate,AA$8,,(SUM(CW96:CZ96)))</f>
        <v>0</v>
      </c>
      <c r="AB96" s="611">
        <f>-PV(InterestRate,AB$8,,(SUM(DA96:DD96)))</f>
        <v>0</v>
      </c>
      <c r="AC96" s="160">
        <f>IF($C96&gt;0,(IF($C96=$AC$7,$D96,0)),0)</f>
        <v>0</v>
      </c>
      <c r="AD96" s="150">
        <f>IF($C96&gt;0,(IF($AC$7&gt;=$C96+1,$E96,0)),0)</f>
        <v>0</v>
      </c>
      <c r="AE96" s="150">
        <f>IF($C96&gt;0,(IF($C96=$AC$7,$F96,0)),0)</f>
        <v>0</v>
      </c>
      <c r="AF96" s="165">
        <f>IF($C96&gt;0,(IF($AC$7&gt;=$C96+1,$G96,0)),0)</f>
        <v>0</v>
      </c>
      <c r="AG96" s="168">
        <f>IF($C96&gt;0,(IF($C96=$AG$7,(-FV(InflationRate,$AG$7,,$D96)),0)),0)</f>
        <v>0</v>
      </c>
      <c r="AH96" s="149">
        <f>IF($C96&gt;0,(IF($AG$7&gt;=$C96+1, (-FV(InflationRate,$AG$7,,$E96)), 0)),0)</f>
        <v>0</v>
      </c>
      <c r="AI96" s="149">
        <f>IF($C96&gt;0,(IF($AG$7&gt;=$C96+1, (-FV(InflationRate,$AG$7,,$F96)), 0)),0)</f>
        <v>0</v>
      </c>
      <c r="AJ96" s="171">
        <f>IF($C96&gt;0,(IF($AG$7&gt;=$C96+1, (-FV(InflationRate,$AG$7,,$G96)), 0)),0)</f>
        <v>0</v>
      </c>
      <c r="AK96" s="160">
        <f>IF($C96&gt;0,(IF($C96=$AK$7,(-FV(InflationRate,$AK$7,,$D96)),0)),0)</f>
        <v>0</v>
      </c>
      <c r="AL96" s="150">
        <f>IF($C96&gt;0,(IF($AK$7&gt;=$C96+1, (-FV(InflationRate,$AK$7,,$E96)), 0)),0)</f>
        <v>0</v>
      </c>
      <c r="AM96" s="150">
        <f>IF($C96&gt;0,(IF($AK$7&gt;=$C96+1, (-FV(InflationRate,$AK$7,,$F96)), 0)),0)</f>
        <v>0</v>
      </c>
      <c r="AN96" s="165">
        <f>IF($C96&gt;0,(IF($AK$7&gt;=$C96+1, (-FV(InflationRate,$AK$7,,$G96)), 0)),0)</f>
        <v>0</v>
      </c>
      <c r="AO96" s="168">
        <f>IF($C96&gt;0,(IF($C96=$AO$7,(-FV(InflationRate,$AO$7,,$D96)),0)),0)</f>
        <v>0</v>
      </c>
      <c r="AP96" s="149">
        <f>IF($C96&gt;0,(IF($AO$7&gt;=$C96+1, (-FV(InflationRate,$AO$7,,$E96)), 0)),0)</f>
        <v>0</v>
      </c>
      <c r="AQ96" s="149">
        <f>IF($C96&gt;0,(IF($AO$7&gt;=$C96+1, (-FV(InflationRate,$AO$7,,$F96)), 0)),0)</f>
        <v>0</v>
      </c>
      <c r="AR96" s="157">
        <f>IF($C96&gt;0,(IF($AO$7&gt;=$C96+1, (-FV(InflationRate,$AO$7,,$G96)), 0)),0)</f>
        <v>0</v>
      </c>
      <c r="AS96" s="160">
        <f>IF($C96&gt;0,(IF($C96=$AS$7,(-FV(InflationRate,$AS$7,,$D96)),0)),0)</f>
        <v>0</v>
      </c>
      <c r="AT96" s="150">
        <f>IF($C96&gt;0,(IF($AS$7&gt;=$C96+1, (-FV(InflationRate,$AS$7,,$E96)), 0)),0)</f>
        <v>0</v>
      </c>
      <c r="AU96" s="150">
        <f>IF($C96&gt;0,(IF($AS$7&gt;=$C96+1, (-FV(InflationRate,$AS$7,,$F96)), 0)),0)</f>
        <v>0</v>
      </c>
      <c r="AV96" s="165">
        <f>IF($C96&gt;0,(IF($AS$7&gt;=$C96+1, (-FV(InflationRate,$AS$7,,$G96)), 0)),0)</f>
        <v>0</v>
      </c>
      <c r="AW96" s="168">
        <f>IF($C96&gt;0,(IF($C96=$AW$7,(-FV(InflationRate,$AW$7,,$D96)),0)),0)</f>
        <v>0</v>
      </c>
      <c r="AX96" s="149">
        <f>IF($C96&gt;0,(IF($AW$7&gt;=$C96+1, (-FV(InflationRate,$AW$7,,$E96)), 0)),0)</f>
        <v>0</v>
      </c>
      <c r="AY96" s="149">
        <f>IF($C96&gt;0,(IF($AW$7&gt;=$C96+1, (-FV(InflationRate,$AW$7,,$F96)), 0)),0)</f>
        <v>0</v>
      </c>
      <c r="AZ96" s="157">
        <f>IF($C96&gt;0,(IF($AW$7&gt;=$C96+1, (-FV(InflationRate,$AW$7,,$G96)), 0)),0)</f>
        <v>0</v>
      </c>
      <c r="BA96" s="160">
        <f>IF($C96&gt;0,(IF($C96=$BA$7,(-FV(InflationRate,$BA$7,,$D96)),0)),0)</f>
        <v>0</v>
      </c>
      <c r="BB96" s="150">
        <f>IF($C96&gt;0,(IF($BA$7&gt;=$C96+1, (-FV(InflationRate,$BA$7,,$E96)), 0)),0)</f>
        <v>0</v>
      </c>
      <c r="BC96" s="150">
        <f>IF($C96&gt;0,(IF($BA$7&gt;=$C96+1, (-FV(InflationRate,$BA$7,,$F96)), 0)),0)</f>
        <v>0</v>
      </c>
      <c r="BD96" s="176">
        <f>IF($C96&gt;0,(IF($BA$7&gt;=$C96+1, (-FV(InflationRate,$BA$7,,$G96)), 0)),0)</f>
        <v>0</v>
      </c>
      <c r="BE96" s="168">
        <f>IF($C96&gt;0,(IF($C96=$BE$7,(-FV(InflationRate,$BE$7,,$D96)),0)),0)</f>
        <v>0</v>
      </c>
      <c r="BF96" s="149">
        <f>IF($C96&gt;0,(IF($BE$7&gt;=$C96+1, (-FV(InflationRate,$BE$7,,$E96)), 0)),0)</f>
        <v>0</v>
      </c>
      <c r="BG96" s="149">
        <f>IF($C96&gt;0,(IF($BE$7&gt;=$C96+1, (-FV(InflationRate,$BE$7,,$F96)), 0)),0)</f>
        <v>0</v>
      </c>
      <c r="BH96" s="171">
        <f>IF($C96&gt;0,(IF($BE$7&gt;=$C96+1, (-FV(InflationRate,$BE$7,,$G96)), 0)),0)</f>
        <v>0</v>
      </c>
      <c r="BI96" s="160">
        <f>IF($C96&gt;0,(IF($C96=$BI$7,(-FV(InflationRate,$BI$7,,$D96)),0)),0)</f>
        <v>0</v>
      </c>
      <c r="BJ96" s="150">
        <f>IF($C96&gt;0,(IF($BI$7&gt;=$C96+1, (-FV(InflationRate,$BI$7,,$E96)), 0)),0)</f>
        <v>0</v>
      </c>
      <c r="BK96" s="150">
        <f>IF($C96&gt;0,(IF($BI$7&gt;=$C96+1, (-FV(InflationRate,$BI$7,,$F96)), 0)),0)</f>
        <v>0</v>
      </c>
      <c r="BL96" s="176">
        <f>IF($C96&gt;0,(IF($BI$7&gt;=$C96+1, (-FV(InflationRate,$BI$7,,$G96)), 0)),0)</f>
        <v>0</v>
      </c>
      <c r="BM96" s="168">
        <f>IF($C96&gt;0,(IF($C96=$BM$7,(-FV(InflationRate,$BM$7,,$D96)),0)),0)</f>
        <v>0</v>
      </c>
      <c r="BN96" s="149">
        <f>IF($C96&gt;0,(IF($BM$7&gt;=$C96+1, (-FV(InflationRate,$BM$7,,$E96)), 0)),0)</f>
        <v>0</v>
      </c>
      <c r="BO96" s="149">
        <f>IF($C96&gt;0,(IF($BM$7&gt;=$C96+1, (-FV(InflationRate,$BM$7,,$F96)), 0)),0)</f>
        <v>0</v>
      </c>
      <c r="BP96" s="157">
        <f>IF($C96&gt;0,(IF($BM$7&gt;=$C96+1, (-FV(InflationRate,$BM$7,,$G96)), 0)),0)</f>
        <v>0</v>
      </c>
      <c r="BQ96" s="160">
        <f>IF($C96&gt;0,(IF($C96=$BQ$7,(-FV(InflationRate,$BQ$7,,$D96)),0)),0)</f>
        <v>0</v>
      </c>
      <c r="BR96" s="150">
        <f>IF($C96&gt;0,(IF($BQ$7&gt;=$C96+1, (-FV(InflationRate,$BQ$7,,$E96)), 0)),0)</f>
        <v>0</v>
      </c>
      <c r="BS96" s="150">
        <f>IF($C96&gt;0,(IF($BQ$7&gt;=$C96+1, (-FV(InflationRate,$BQ$7,,$F96)), 0)),0)</f>
        <v>0</v>
      </c>
      <c r="BT96" s="176">
        <f>IF($C96&gt;0,(IF($BQ$7&gt;=$C96+1, (-FV(InflationRate,$BQ$7,,$G96)), 0)),0)</f>
        <v>0</v>
      </c>
      <c r="BU96" s="168">
        <f>IF($C96&gt;0,(IF($C96=$BU$7,(-FV(InflationRate,$BU$7,,$D96)),0)),0)</f>
        <v>0</v>
      </c>
      <c r="BV96" s="149">
        <f>IF($C96&gt;0,(IF($BU$7&gt;=$C96+1, (-FV(InflationRate,$BU$7,,$E96)), 0)),0)</f>
        <v>0</v>
      </c>
      <c r="BW96" s="149">
        <f>IF($C96&gt;0,(IF($BU$7&gt;=$C96+1, (-FV(InflationRate,$BU$7,,$F96)), 0)),0)</f>
        <v>0</v>
      </c>
      <c r="BX96" s="157">
        <f>IF($C96&gt;0,(IF($BU$7&gt;=$C96+1, (-FV(InflationRate,$BU$7,,$G96)), 0)),0)</f>
        <v>0</v>
      </c>
      <c r="BY96" s="160">
        <f>IF($C96&gt;0,(IF($C96=$BY$7,(-FV(InflationRate,$BY$7,,$D96)),0)),0)</f>
        <v>0</v>
      </c>
      <c r="BZ96" s="150">
        <f>IF($C96&gt;0,(IF($BY$7&gt;=$C96+1, (-FV(InflationRate,$BY$7,,$E96)), 0)),0)</f>
        <v>0</v>
      </c>
      <c r="CA96" s="150">
        <f>IF($C96&gt;0,(IF($BY$7&gt;=$C96+1, (-FV(InflationRate,$BY$7,,$F96)), 0)),0)</f>
        <v>0</v>
      </c>
      <c r="CB96" s="176">
        <f>IF($C96&gt;0,(IF($BY$7&gt;=$C96+1, (-FV(InflationRate,$BY$7,,$G96)), 0)),0)</f>
        <v>0</v>
      </c>
      <c r="CC96" s="168">
        <f>IF($C96&gt;0,(IF($C96=$CC$7,(-FV(InflationRate,$CC$7,,$D96)),0)),0)</f>
        <v>0</v>
      </c>
      <c r="CD96" s="149">
        <f>IF($C96&gt;0,(IF($CC$7&gt;=$C96+1, (-FV(InflationRate,$CC$7,,$E96)), 0)),0)</f>
        <v>0</v>
      </c>
      <c r="CE96" s="149">
        <f>IF($C96&gt;0,(IF($CC$7&gt;=$C96+1, (-FV(InflationRate,$CC$7,,$F96)), 0)),0)</f>
        <v>0</v>
      </c>
      <c r="CF96" s="157">
        <f>IF($C96&gt;0,(IF($CC$7&gt;=$C96+1, (-FV(InflationRate,$CC$7,,$G96)), 0)),0)</f>
        <v>0</v>
      </c>
      <c r="CG96" s="160">
        <f>IF($C96&gt;0,(IF($C96=$CG$7,(-FV(InflationRate,$CG$7,,$D96)),0)),0)</f>
        <v>0</v>
      </c>
      <c r="CH96" s="150">
        <f>IF($C96&gt;0,(IF($CG$7&gt;=$C96+1, (-FV(InflationRate,$CG$7,,$E96)), 0)),0)</f>
        <v>0</v>
      </c>
      <c r="CI96" s="150">
        <f>IF($C96&gt;0,(IF($CG$7&gt;=$C96+1, (-FV(InflationRate,$CG$7,,$F96)), 0)),0)</f>
        <v>0</v>
      </c>
      <c r="CJ96" s="176">
        <f>IF($C96&gt;0,(IF($CG$7&gt;=$C96+1, (-FV(InflationRate,$CG$7,,$G96)), 0)),0)</f>
        <v>0</v>
      </c>
      <c r="CK96" s="168">
        <f>IF($C96&gt;0,(IF($C96=$CK$7,(-FV(InflationRate,$CK$7,,$D96)),0)),0)</f>
        <v>0</v>
      </c>
      <c r="CL96" s="149">
        <f>IF($C96&gt;0,(IF($CK$7&gt;=$C96+1, (-FV(InflationRate,$CK$7,,$E96)), 0)),0)</f>
        <v>0</v>
      </c>
      <c r="CM96" s="149">
        <f>IF($C96&gt;0,(IF($CK$7&gt;=$C96+1, (-FV(InflationRate,$CK$7,,$F96)), 0)),0)</f>
        <v>0</v>
      </c>
      <c r="CN96" s="157">
        <f>IF($C96&gt;0,(IF($CK$7&gt;=$C96+1, (-FV(InflationRate,$CK$7,,$G96)), 0)),0)</f>
        <v>0</v>
      </c>
      <c r="CO96" s="160">
        <f>IF($C96&gt;0,(IF($C96=$CO$7,(-FV(InflationRate,$CO$7,,$D96)),0)),0)</f>
        <v>0</v>
      </c>
      <c r="CP96" s="150">
        <f>IF($C96&gt;0,(IF($CO$7&gt;=$C96+1, (-FV(InflationRate,$CO$7,,$E96)), 0)),0)</f>
        <v>0</v>
      </c>
      <c r="CQ96" s="150">
        <f>IF($C96&gt;0,(IF($CO$7&gt;=$C96+1, (-FV(InflationRate,$CO$7,,$F96)), 0)),0)</f>
        <v>0</v>
      </c>
      <c r="CR96" s="176">
        <f>IF($C96&gt;0,(IF($CO$7&gt;=$C96+1, (-FV(InflationRate,$CO$7,,$G96)), 0)),0)</f>
        <v>0</v>
      </c>
      <c r="CS96" s="168">
        <f>IF($C96&gt;0,(IF($C96=$CS$7,(-FV(InflationRate,$CS$7,,$D96)),0)),0)</f>
        <v>0</v>
      </c>
      <c r="CT96" s="149">
        <f>IF($C96&gt;0,(IF($CS$7&gt;=$C96+1, (-FV(InflationRate,$CS$7,,$E96)), 0)),0)</f>
        <v>0</v>
      </c>
      <c r="CU96" s="149">
        <f>IF($C96&gt;0,(IF($CS$7&gt;=$C96+1, (-FV(InflationRate,$CS$7,,$F96)), 0)),0)</f>
        <v>0</v>
      </c>
      <c r="CV96" s="157">
        <f>IF($C96&gt;0,(IF($CS$7&gt;=$C96+1, (-FV(InflationRate,$CS$7,,$G96)), 0)),0)</f>
        <v>0</v>
      </c>
      <c r="CW96" s="160">
        <f>IF($C96&gt;0,(IF($C96=$CW$7,(-FV(InflationRate,$CW$7,,$D96)),0)),0)</f>
        <v>0</v>
      </c>
      <c r="CX96" s="150">
        <f>IF($C96&gt;0,(IF($CW$7&gt;=$C96+1, (-FV(InflationRate,$CW$7,,$E96)), 0)),0)</f>
        <v>0</v>
      </c>
      <c r="CY96" s="150">
        <f>IF($C96&gt;0,(IF($CW$7&gt;=$C96+1, (-FV(InflationRate,$CW$7,,$F96)), 0)),0)</f>
        <v>0</v>
      </c>
      <c r="CZ96" s="176">
        <f>IF($C96&gt;0,(IF($CW$7&gt;=$C96+1, (-FV(InflationRate,$CW$7,,$G96)), 0)),0)</f>
        <v>0</v>
      </c>
      <c r="DA96" s="168">
        <f>IF($C96&gt;0,(IF($C96=$DA$7,(-FV(InflationRate,$DA$7,,$D96)),0)),0)</f>
        <v>0</v>
      </c>
      <c r="DB96" s="149">
        <f>IF($C96&gt;0,(IF($DA$7&gt;=$C96+1, (-FV(InflationRate,$DA$7,,$E96)), 0)),0)</f>
        <v>0</v>
      </c>
      <c r="DC96" s="149">
        <f>IF($C96&gt;0,(IF($DA$7&gt;=$C96+1, (-FV(InflationRate,$DA$7,,$F96)), 0)),0)</f>
        <v>0</v>
      </c>
      <c r="DD96" s="157">
        <f>IF($C96&gt;0,(IF($DA$7&gt;=$C96+1, (-FV(InflationRate,$DA$7,,$G96)), 0)),0)</f>
        <v>0</v>
      </c>
    </row>
    <row r="97" spans="2:108" ht="12.75" hidden="1" customHeight="1" x14ac:dyDescent="0.2">
      <c r="B97" s="183" t="s">
        <v>203</v>
      </c>
      <c r="C97" s="556"/>
      <c r="D97" s="168"/>
      <c r="E97" s="149"/>
      <c r="F97" s="558">
        <v>0</v>
      </c>
      <c r="G97" s="149"/>
      <c r="H97" s="168">
        <f>SUM(I97:AB97)</f>
        <v>0</v>
      </c>
      <c r="I97" s="610">
        <f>-PV(InterestRate,I$8,,(SUM(AC97:AF97)))</f>
        <v>0</v>
      </c>
      <c r="J97" s="610">
        <f>-PV(InterestRate,J$8,,(SUM(AG97:AJ97)))</f>
        <v>0</v>
      </c>
      <c r="K97" s="610">
        <f>-PV(InterestRate,K$8,,(SUM(AK97:AN97)))</f>
        <v>0</v>
      </c>
      <c r="L97" s="610">
        <f>-PV(InterestRate,L$8,,(SUM(AO97:AR97)))</f>
        <v>0</v>
      </c>
      <c r="M97" s="610">
        <f>-PV(InterestRate,M$8,,(SUM(AS97:AV97)))</f>
        <v>0</v>
      </c>
      <c r="N97" s="610">
        <f>-PV(InterestRate,N$8,,(SUM(AW97:AZ97)))</f>
        <v>0</v>
      </c>
      <c r="O97" s="610">
        <f>-PV(InterestRate,O$8,,(SUM(BA97:BD97)))</f>
        <v>0</v>
      </c>
      <c r="P97" s="610">
        <f>-PV(InterestRate,P$8,,(SUM(BE97:BH97)))</f>
        <v>0</v>
      </c>
      <c r="Q97" s="610">
        <f>-PV(InterestRate,Q$8,,(SUM(BI97:BL97)))</f>
        <v>0</v>
      </c>
      <c r="R97" s="610">
        <f>-PV(InterestRate,R$8,,(SUM(BM97:BP97)))</f>
        <v>0</v>
      </c>
      <c r="S97" s="610">
        <f>-PV(InterestRate,S$8,,(SUM(BQ97:BT97)))</f>
        <v>0</v>
      </c>
      <c r="T97" s="610">
        <f>-PV(InterestRate,T$8,,(SUM(BU97:BX97)))</f>
        <v>0</v>
      </c>
      <c r="U97" s="610">
        <f>-PV(InterestRate,U$8,,(SUM(BY97:CB97)))</f>
        <v>0</v>
      </c>
      <c r="V97" s="610">
        <f>-PV(InterestRate,V$8,,(SUM(CC97:CF97)))</f>
        <v>0</v>
      </c>
      <c r="W97" s="610">
        <f>-PV(InterestRate,W$8,,(SUM(CG97:CJ97)))</f>
        <v>0</v>
      </c>
      <c r="X97" s="610">
        <f>-PV(InterestRate,X$8,,(SUM(CK97:CN97)))</f>
        <v>0</v>
      </c>
      <c r="Y97" s="610">
        <f>-PV(InterestRate,Y$8,,(SUM(CO97:CR97)))</f>
        <v>0</v>
      </c>
      <c r="Z97" s="610">
        <f>-PV(InterestRate,Z$8,,(SUM(CS97:CV97)))</f>
        <v>0</v>
      </c>
      <c r="AA97" s="610">
        <f>-PV(InterestRate,AA$8,,(SUM(CW97:CZ97)))</f>
        <v>0</v>
      </c>
      <c r="AB97" s="611">
        <f>-PV(InterestRate,AB$8,,(SUM(DA97:DD97)))</f>
        <v>0</v>
      </c>
      <c r="AC97" s="160">
        <f>IF($C97&gt;0,(IF($C97=$AC$7,$D97,0)),0)</f>
        <v>0</v>
      </c>
      <c r="AD97" s="150">
        <f>IF($C97&gt;0,(IF($AC$7&gt;=$C97+1,$E97,0)),0)</f>
        <v>0</v>
      </c>
      <c r="AE97" s="150">
        <f>IF($C97&gt;0,(IF($C97=$AC$7,$F97,0)),0)</f>
        <v>0</v>
      </c>
      <c r="AF97" s="165">
        <f>IF($C97&gt;0,(IF($AC$7&gt;=$C97+1,$G97,0)),0)</f>
        <v>0</v>
      </c>
      <c r="AG97" s="168">
        <f>IF($C97&gt;0,(IF($C97=$AG$7,(-FV(InflationRate,$AG$7,,$D97)),0)),0)</f>
        <v>0</v>
      </c>
      <c r="AH97" s="149">
        <f>IF($C97&gt;0,(IF($AG$7&gt;=$C97+1, (-FV(InflationRate,$AG$7,,$E97)), 0)),0)</f>
        <v>0</v>
      </c>
      <c r="AI97" s="149">
        <f>IF($C97&gt;0,(IF($AG$7&gt;=$C97+1, (-FV(InflationRate,$AG$7,,$F97)), 0)),0)</f>
        <v>0</v>
      </c>
      <c r="AJ97" s="171">
        <f>IF($C97&gt;0,(IF($AG$7&gt;=$C97+1, (-FV(InflationRate,$AG$7,,$G97)), 0)),0)</f>
        <v>0</v>
      </c>
      <c r="AK97" s="160">
        <f>IF($C97&gt;0,(IF($C97=$AK$7,(-FV(InflationRate,$AK$7,,$D97)),0)),0)</f>
        <v>0</v>
      </c>
      <c r="AL97" s="150">
        <f>IF($C97&gt;0,(IF($AK$7&gt;=$C97+1, (-FV(InflationRate,$AK$7,,$E97)), 0)),0)</f>
        <v>0</v>
      </c>
      <c r="AM97" s="150">
        <f>IF($C97&gt;0,(IF($AK$7&gt;=$C97+1, (-FV(InflationRate,$AK$7,,$F97)), 0)),0)</f>
        <v>0</v>
      </c>
      <c r="AN97" s="165">
        <f>IF($C97&gt;0,(IF($AK$7&gt;=$C97+1, (-FV(InflationRate,$AK$7,,$G97)), 0)),0)</f>
        <v>0</v>
      </c>
      <c r="AO97" s="168">
        <f>IF($C97&gt;0,(IF($C97=$AO$7,(-FV(InflationRate,$AO$7,,$D97)),0)),0)</f>
        <v>0</v>
      </c>
      <c r="AP97" s="149">
        <f>IF($C97&gt;0,(IF($AO$7&gt;=$C97+1, (-FV(InflationRate,$AO$7,,$E97)), 0)),0)</f>
        <v>0</v>
      </c>
      <c r="AQ97" s="149">
        <f>IF($C97&gt;0,(IF($AO$7&gt;=$C97+1, (-FV(InflationRate,$AO$7,,$F97)), 0)),0)</f>
        <v>0</v>
      </c>
      <c r="AR97" s="157">
        <f>IF($C97&gt;0,(IF($AO$7&gt;=$C97+1, (-FV(InflationRate,$AO$7,,$G97)), 0)),0)</f>
        <v>0</v>
      </c>
      <c r="AS97" s="160">
        <f>IF($C97&gt;0,(IF($C97=$AS$7,(-FV(InflationRate,$AS$7,,$D97)),0)),0)</f>
        <v>0</v>
      </c>
      <c r="AT97" s="150">
        <f>IF($C97&gt;0,(IF($AS$7&gt;=$C97+1, (-FV(InflationRate,$AS$7,,$E97)), 0)),0)</f>
        <v>0</v>
      </c>
      <c r="AU97" s="150">
        <f>IF($C97&gt;0,(IF($AS$7&gt;=$C97+1, (-FV(InflationRate,$AS$7,,$F97)), 0)),0)</f>
        <v>0</v>
      </c>
      <c r="AV97" s="165">
        <f>IF($C97&gt;0,(IF($AS$7&gt;=$C97+1, (-FV(InflationRate,$AS$7,,$G97)), 0)),0)</f>
        <v>0</v>
      </c>
      <c r="AW97" s="168">
        <f>IF($C97&gt;0,(IF($C97=$AW$7,(-FV(InflationRate,$AW$7,,$D97)),0)),0)</f>
        <v>0</v>
      </c>
      <c r="AX97" s="149">
        <f>IF($C97&gt;0,(IF($AW$7&gt;=$C97+1, (-FV(InflationRate,$AW$7,,$E97)), 0)),0)</f>
        <v>0</v>
      </c>
      <c r="AY97" s="149">
        <f>IF($C97&gt;0,(IF($AW$7&gt;=$C97+1, (-FV(InflationRate,$AW$7,,$F97)), 0)),0)</f>
        <v>0</v>
      </c>
      <c r="AZ97" s="157">
        <f>IF($C97&gt;0,(IF($AW$7&gt;=$C97+1, (-FV(InflationRate,$AW$7,,$G97)), 0)),0)</f>
        <v>0</v>
      </c>
      <c r="BA97" s="160">
        <f>IF($C97&gt;0,(IF($C97=$BA$7,(-FV(InflationRate,$BA$7,,$D97)),0)),0)</f>
        <v>0</v>
      </c>
      <c r="BB97" s="150">
        <f>IF($C97&gt;0,(IF($BA$7&gt;=$C97+1, (-FV(InflationRate,$BA$7,,$E97)), 0)),0)</f>
        <v>0</v>
      </c>
      <c r="BC97" s="150">
        <f>IF($C97&gt;0,(IF($BA$7&gt;=$C97+1, (-FV(InflationRate,$BA$7,,$F97)), 0)),0)</f>
        <v>0</v>
      </c>
      <c r="BD97" s="176">
        <f>IF($C97&gt;0,(IF($BA$7&gt;=$C97+1, (-FV(InflationRate,$BA$7,,$G97)), 0)),0)</f>
        <v>0</v>
      </c>
      <c r="BE97" s="168">
        <f>IF($C97&gt;0,(IF($C97=$BE$7,(-FV(InflationRate,$BE$7,,$D97)),0)),0)</f>
        <v>0</v>
      </c>
      <c r="BF97" s="149">
        <f>IF($C97&gt;0,(IF($BE$7&gt;=$C97+1, (-FV(InflationRate,$BE$7,,$E97)), 0)),0)</f>
        <v>0</v>
      </c>
      <c r="BG97" s="149">
        <f>IF($C97&gt;0,(IF($BE$7&gt;=$C97+1, (-FV(InflationRate,$BE$7,,$F97)), 0)),0)</f>
        <v>0</v>
      </c>
      <c r="BH97" s="171">
        <f>IF($C97&gt;0,(IF($BE$7&gt;=$C97+1, (-FV(InflationRate,$BE$7,,$G97)), 0)),0)</f>
        <v>0</v>
      </c>
      <c r="BI97" s="160">
        <f>IF($C97&gt;0,(IF($C97=$BI$7,(-FV(InflationRate,$BI$7,,$D97)),0)),0)</f>
        <v>0</v>
      </c>
      <c r="BJ97" s="150">
        <f>IF($C97&gt;0,(IF($BI$7&gt;=$C97+1, (-FV(InflationRate,$BI$7,,$E97)), 0)),0)</f>
        <v>0</v>
      </c>
      <c r="BK97" s="150">
        <f>IF($C97&gt;0,(IF($BI$7&gt;=$C97+1, (-FV(InflationRate,$BI$7,,$F97)), 0)),0)</f>
        <v>0</v>
      </c>
      <c r="BL97" s="176">
        <f>IF($C97&gt;0,(IF($BI$7&gt;=$C97+1, (-FV(InflationRate,$BI$7,,$G97)), 0)),0)</f>
        <v>0</v>
      </c>
      <c r="BM97" s="168">
        <f>IF($C97&gt;0,(IF($C97=$BM$7,(-FV(InflationRate,$BM$7,,$D97)),0)),0)</f>
        <v>0</v>
      </c>
      <c r="BN97" s="149">
        <f>IF($C97&gt;0,(IF($BM$7&gt;=$C97+1, (-FV(InflationRate,$BM$7,,$E97)), 0)),0)</f>
        <v>0</v>
      </c>
      <c r="BO97" s="149">
        <f>IF($C97&gt;0,(IF($BM$7&gt;=$C97+1, (-FV(InflationRate,$BM$7,,$F97)), 0)),0)</f>
        <v>0</v>
      </c>
      <c r="BP97" s="157">
        <f>IF($C97&gt;0,(IF($BM$7&gt;=$C97+1, (-FV(InflationRate,$BM$7,,$G97)), 0)),0)</f>
        <v>0</v>
      </c>
      <c r="BQ97" s="160">
        <f>IF($C97&gt;0,(IF($C97=$BQ$7,(-FV(InflationRate,$BQ$7,,$D97)),0)),0)</f>
        <v>0</v>
      </c>
      <c r="BR97" s="150">
        <f>IF($C97&gt;0,(IF($BQ$7&gt;=$C97+1, (-FV(InflationRate,$BQ$7,,$E97)), 0)),0)</f>
        <v>0</v>
      </c>
      <c r="BS97" s="150">
        <f>IF($C97&gt;0,(IF($BQ$7&gt;=$C97+1, (-FV(InflationRate,$BQ$7,,$F97)), 0)),0)</f>
        <v>0</v>
      </c>
      <c r="BT97" s="176">
        <f>IF($C97&gt;0,(IF($BQ$7&gt;=$C97+1, (-FV(InflationRate,$BQ$7,,$G97)), 0)),0)</f>
        <v>0</v>
      </c>
      <c r="BU97" s="168">
        <f>IF($C97&gt;0,(IF($C97=$BU$7,(-FV(InflationRate,$BU$7,,$D97)),0)),0)</f>
        <v>0</v>
      </c>
      <c r="BV97" s="149">
        <f>IF($C97&gt;0,(IF($BU$7&gt;=$C97+1, (-FV(InflationRate,$BU$7,,$E97)), 0)),0)</f>
        <v>0</v>
      </c>
      <c r="BW97" s="149">
        <f>IF($C97&gt;0,(IF($BU$7&gt;=$C97+1, (-FV(InflationRate,$BU$7,,$F97)), 0)),0)</f>
        <v>0</v>
      </c>
      <c r="BX97" s="157">
        <f>IF($C97&gt;0,(IF($BU$7&gt;=$C97+1, (-FV(InflationRate,$BU$7,,$G97)), 0)),0)</f>
        <v>0</v>
      </c>
      <c r="BY97" s="160">
        <f>IF($C97&gt;0,(IF($C97=$BY$7,(-FV(InflationRate,$BY$7,,$D97)),0)),0)</f>
        <v>0</v>
      </c>
      <c r="BZ97" s="150">
        <f>IF($C97&gt;0,(IF($BY$7&gt;=$C97+1, (-FV(InflationRate,$BY$7,,$E97)), 0)),0)</f>
        <v>0</v>
      </c>
      <c r="CA97" s="150">
        <f>IF($C97&gt;0,(IF($BY$7&gt;=$C97+1, (-FV(InflationRate,$BY$7,,$F97)), 0)),0)</f>
        <v>0</v>
      </c>
      <c r="CB97" s="176">
        <f>IF($C97&gt;0,(IF($BY$7&gt;=$C97+1, (-FV(InflationRate,$BY$7,,$G97)), 0)),0)</f>
        <v>0</v>
      </c>
      <c r="CC97" s="168">
        <f>IF($C97&gt;0,(IF($C97=$CC$7,(-FV(InflationRate,$CC$7,,$D97)),0)),0)</f>
        <v>0</v>
      </c>
      <c r="CD97" s="149">
        <f>IF($C97&gt;0,(IF($CC$7&gt;=$C97+1, (-FV(InflationRate,$CC$7,,$E97)), 0)),0)</f>
        <v>0</v>
      </c>
      <c r="CE97" s="149">
        <f>IF($C97&gt;0,(IF($CC$7&gt;=$C97+1, (-FV(InflationRate,$CC$7,,$F97)), 0)),0)</f>
        <v>0</v>
      </c>
      <c r="CF97" s="157">
        <f>IF($C97&gt;0,(IF($CC$7&gt;=$C97+1, (-FV(InflationRate,$CC$7,,$G97)), 0)),0)</f>
        <v>0</v>
      </c>
      <c r="CG97" s="160">
        <f>IF($C97&gt;0,(IF($C97=$CG$7,(-FV(InflationRate,$CG$7,,$D97)),0)),0)</f>
        <v>0</v>
      </c>
      <c r="CH97" s="150">
        <f>IF($C97&gt;0,(IF($CG$7&gt;=$C97+1, (-FV(InflationRate,$CG$7,,$E97)), 0)),0)</f>
        <v>0</v>
      </c>
      <c r="CI97" s="150">
        <f>IF($C97&gt;0,(IF($CG$7&gt;=$C97+1, (-FV(InflationRate,$CG$7,,$F97)), 0)),0)</f>
        <v>0</v>
      </c>
      <c r="CJ97" s="176">
        <f>IF($C97&gt;0,(IF($CG$7&gt;=$C97+1, (-FV(InflationRate,$CG$7,,$G97)), 0)),0)</f>
        <v>0</v>
      </c>
      <c r="CK97" s="168">
        <f>IF($C97&gt;0,(IF($C97=$CK$7,(-FV(InflationRate,$CK$7,,$D97)),0)),0)</f>
        <v>0</v>
      </c>
      <c r="CL97" s="149">
        <f>IF($C97&gt;0,(IF($CK$7&gt;=$C97+1, (-FV(InflationRate,$CK$7,,$E97)), 0)),0)</f>
        <v>0</v>
      </c>
      <c r="CM97" s="149">
        <f>IF($C97&gt;0,(IF($CK$7&gt;=$C97+1, (-FV(InflationRate,$CK$7,,$F97)), 0)),0)</f>
        <v>0</v>
      </c>
      <c r="CN97" s="157">
        <f>IF($C97&gt;0,(IF($CK$7&gt;=$C97+1, (-FV(InflationRate,$CK$7,,$G97)), 0)),0)</f>
        <v>0</v>
      </c>
      <c r="CO97" s="160">
        <f>IF($C97&gt;0,(IF($C97=$CO$7,(-FV(InflationRate,$CO$7,,$D97)),0)),0)</f>
        <v>0</v>
      </c>
      <c r="CP97" s="150">
        <f>IF($C97&gt;0,(IF($CO$7&gt;=$C97+1, (-FV(InflationRate,$CO$7,,$E97)), 0)),0)</f>
        <v>0</v>
      </c>
      <c r="CQ97" s="150">
        <f>IF($C97&gt;0,(IF($CO$7&gt;=$C97+1, (-FV(InflationRate,$CO$7,,$F97)), 0)),0)</f>
        <v>0</v>
      </c>
      <c r="CR97" s="176">
        <f>IF($C97&gt;0,(IF($CO$7&gt;=$C97+1, (-FV(InflationRate,$CO$7,,$G97)), 0)),0)</f>
        <v>0</v>
      </c>
      <c r="CS97" s="168">
        <f>IF($C97&gt;0,(IF($C97=$CS$7,(-FV(InflationRate,$CS$7,,$D97)),0)),0)</f>
        <v>0</v>
      </c>
      <c r="CT97" s="149">
        <f>IF($C97&gt;0,(IF($CS$7&gt;=$C97+1, (-FV(InflationRate,$CS$7,,$E97)), 0)),0)</f>
        <v>0</v>
      </c>
      <c r="CU97" s="149">
        <f>IF($C97&gt;0,(IF($CS$7&gt;=$C97+1, (-FV(InflationRate,$CS$7,,$F97)), 0)),0)</f>
        <v>0</v>
      </c>
      <c r="CV97" s="157">
        <f>IF($C97&gt;0,(IF($CS$7&gt;=$C97+1, (-FV(InflationRate,$CS$7,,$G97)), 0)),0)</f>
        <v>0</v>
      </c>
      <c r="CW97" s="160">
        <f>IF($C97&gt;0,(IF($C97=$CW$7,(-FV(InflationRate,$CW$7,,$D97)),0)),0)</f>
        <v>0</v>
      </c>
      <c r="CX97" s="150">
        <f>IF($C97&gt;0,(IF($CW$7&gt;=$C97+1, (-FV(InflationRate,$CW$7,,$E97)), 0)),0)</f>
        <v>0</v>
      </c>
      <c r="CY97" s="150">
        <f>IF($C97&gt;0,(IF($CW$7&gt;=$C97+1, (-FV(InflationRate,$CW$7,,$F97)), 0)),0)</f>
        <v>0</v>
      </c>
      <c r="CZ97" s="176">
        <f>IF($C97&gt;0,(IF($CW$7&gt;=$C97+1, (-FV(InflationRate,$CW$7,,$G97)), 0)),0)</f>
        <v>0</v>
      </c>
      <c r="DA97" s="168">
        <f>IF($C97&gt;0,(IF($C97=$DA$7,(-FV(InflationRate,$DA$7,,$D97)),0)),0)</f>
        <v>0</v>
      </c>
      <c r="DB97" s="149">
        <f>IF($C97&gt;0,(IF($DA$7&gt;=$C97+1, (-FV(InflationRate,$DA$7,,$E97)), 0)),0)</f>
        <v>0</v>
      </c>
      <c r="DC97" s="149">
        <f>IF($C97&gt;0,(IF($DA$7&gt;=$C97+1, (-FV(InflationRate,$DA$7,,$F97)), 0)),0)</f>
        <v>0</v>
      </c>
      <c r="DD97" s="157">
        <f>IF($C97&gt;0,(IF($DA$7&gt;=$C97+1, (-FV(InflationRate,$DA$7,,$G97)), 0)),0)</f>
        <v>0</v>
      </c>
    </row>
    <row r="98" spans="2:108" ht="12.75" hidden="1" customHeight="1" x14ac:dyDescent="0.2">
      <c r="B98" s="182" t="s">
        <v>221</v>
      </c>
      <c r="C98" s="189"/>
      <c r="D98" s="168"/>
      <c r="E98" s="149"/>
      <c r="F98" s="149"/>
      <c r="G98" s="149"/>
      <c r="H98" s="168"/>
      <c r="I98" s="600"/>
      <c r="J98" s="600"/>
      <c r="K98" s="600"/>
      <c r="L98" s="600"/>
      <c r="M98" s="600"/>
      <c r="N98" s="600"/>
      <c r="O98" s="600"/>
      <c r="P98" s="600"/>
      <c r="Q98" s="600"/>
      <c r="R98" s="600"/>
      <c r="S98" s="600"/>
      <c r="T98" s="600"/>
      <c r="U98" s="600"/>
      <c r="V98" s="600"/>
      <c r="W98" s="600"/>
      <c r="X98" s="600"/>
      <c r="Y98" s="600"/>
      <c r="Z98" s="600"/>
      <c r="AA98" s="600"/>
      <c r="AB98" s="601"/>
      <c r="AC98" s="160"/>
      <c r="AD98" s="150"/>
      <c r="AE98" s="150"/>
      <c r="AF98" s="165"/>
      <c r="AG98" s="168"/>
      <c r="AH98" s="149"/>
      <c r="AI98" s="149"/>
      <c r="AJ98" s="171"/>
      <c r="AK98" s="160"/>
      <c r="AL98" s="150"/>
      <c r="AM98" s="150"/>
      <c r="AN98" s="165"/>
      <c r="AO98" s="168"/>
      <c r="AP98" s="149"/>
      <c r="AQ98" s="149"/>
      <c r="AR98" s="157"/>
      <c r="AS98" s="160"/>
      <c r="AT98" s="150"/>
      <c r="AU98" s="150"/>
      <c r="AV98" s="165"/>
      <c r="AW98" s="168"/>
      <c r="AX98" s="149"/>
      <c r="AY98" s="149"/>
      <c r="AZ98" s="157"/>
      <c r="BA98" s="160"/>
      <c r="BB98" s="150"/>
      <c r="BC98" s="150"/>
      <c r="BD98" s="176"/>
      <c r="BE98" s="168"/>
      <c r="BF98" s="149"/>
      <c r="BG98" s="149"/>
      <c r="BH98" s="171"/>
      <c r="BI98" s="160"/>
      <c r="BJ98" s="150"/>
      <c r="BK98" s="150"/>
      <c r="BL98" s="176"/>
      <c r="BM98" s="168"/>
      <c r="BN98" s="149"/>
      <c r="BO98" s="149"/>
      <c r="BP98" s="157"/>
      <c r="BQ98" s="160"/>
      <c r="BR98" s="150"/>
      <c r="BS98" s="150"/>
      <c r="BT98" s="176"/>
      <c r="BU98" s="168"/>
      <c r="BV98" s="149"/>
      <c r="BW98" s="149"/>
      <c r="BX98" s="157"/>
      <c r="BY98" s="160"/>
      <c r="BZ98" s="150"/>
      <c r="CA98" s="150"/>
      <c r="CB98" s="176"/>
      <c r="CC98" s="168"/>
      <c r="CD98" s="149"/>
      <c r="CE98" s="149"/>
      <c r="CF98" s="157"/>
      <c r="CG98" s="160"/>
      <c r="CH98" s="150"/>
      <c r="CI98" s="150"/>
      <c r="CJ98" s="176"/>
      <c r="CK98" s="168"/>
      <c r="CL98" s="149"/>
      <c r="CM98" s="149"/>
      <c r="CN98" s="157"/>
      <c r="CO98" s="160"/>
      <c r="CP98" s="150"/>
      <c r="CQ98" s="150"/>
      <c r="CR98" s="176"/>
      <c r="CS98" s="168"/>
      <c r="CT98" s="149"/>
      <c r="CU98" s="149"/>
      <c r="CV98" s="157"/>
      <c r="CW98" s="160"/>
      <c r="CX98" s="150"/>
      <c r="CY98" s="150"/>
      <c r="CZ98" s="176"/>
      <c r="DA98" s="168"/>
      <c r="DB98" s="149"/>
      <c r="DC98" s="149"/>
      <c r="DD98" s="157"/>
    </row>
    <row r="99" spans="2:108" ht="12.75" hidden="1" customHeight="1" x14ac:dyDescent="0.2">
      <c r="B99" s="183" t="s">
        <v>220</v>
      </c>
      <c r="C99" s="556"/>
      <c r="D99" s="557">
        <v>0</v>
      </c>
      <c r="E99" s="149"/>
      <c r="F99" s="149"/>
      <c r="G99" s="149"/>
      <c r="H99" s="168">
        <f>SUM(I99:AB99)</f>
        <v>0</v>
      </c>
      <c r="I99" s="610">
        <f>-PV(InterestRate,I$8,,(SUM(AC99:AF99)))</f>
        <v>0</v>
      </c>
      <c r="J99" s="610">
        <f>-PV(InterestRate,J$8,,(SUM(AG99:AJ99)))</f>
        <v>0</v>
      </c>
      <c r="K99" s="610">
        <f>-PV(InterestRate,K$8,,(SUM(AK99:AN99)))</f>
        <v>0</v>
      </c>
      <c r="L99" s="610">
        <f>-PV(InterestRate,L$8,,(SUM(AO99:AR99)))</f>
        <v>0</v>
      </c>
      <c r="M99" s="610">
        <f>-PV(InterestRate,M$8,,(SUM(AS99:AV99)))</f>
        <v>0</v>
      </c>
      <c r="N99" s="610">
        <f>-PV(InterestRate,N$8,,(SUM(AW99:AZ99)))</f>
        <v>0</v>
      </c>
      <c r="O99" s="610">
        <f>-PV(InterestRate,O$8,,(SUM(BA99:BD99)))</f>
        <v>0</v>
      </c>
      <c r="P99" s="610">
        <f>-PV(InterestRate,P$8,,(SUM(BE99:BH99)))</f>
        <v>0</v>
      </c>
      <c r="Q99" s="610">
        <f>-PV(InterestRate,Q$8,,(SUM(BI99:BL99)))</f>
        <v>0</v>
      </c>
      <c r="R99" s="610">
        <f>-PV(InterestRate,R$8,,(SUM(BM99:BP99)))</f>
        <v>0</v>
      </c>
      <c r="S99" s="610">
        <f>-PV(InterestRate,S$8,,(SUM(BQ99:BT99)))</f>
        <v>0</v>
      </c>
      <c r="T99" s="610">
        <f>-PV(InterestRate,T$8,,(SUM(BU99:BX99)))</f>
        <v>0</v>
      </c>
      <c r="U99" s="610">
        <f>-PV(InterestRate,U$8,,(SUM(BY99:CB99)))</f>
        <v>0</v>
      </c>
      <c r="V99" s="610">
        <f>-PV(InterestRate,V$8,,(SUM(CC99:CF99)))</f>
        <v>0</v>
      </c>
      <c r="W99" s="610">
        <f>-PV(InterestRate,W$8,,(SUM(CG99:CJ99)))</f>
        <v>0</v>
      </c>
      <c r="X99" s="610">
        <f>-PV(InterestRate,X$8,,(SUM(CK99:CN99)))</f>
        <v>0</v>
      </c>
      <c r="Y99" s="610">
        <f>-PV(InterestRate,Y$8,,(SUM(CO99:CR99)))</f>
        <v>0</v>
      </c>
      <c r="Z99" s="610">
        <f>-PV(InterestRate,Z$8,,(SUM(CS99:CV99)))</f>
        <v>0</v>
      </c>
      <c r="AA99" s="610">
        <f>-PV(InterestRate,AA$8,,(SUM(CW99:CZ99)))</f>
        <v>0</v>
      </c>
      <c r="AB99" s="611">
        <f>-PV(InterestRate,AB$8,,(SUM(DA99:DD99)))</f>
        <v>0</v>
      </c>
      <c r="AC99" s="160">
        <f>IF($C99&gt;0,(IF($C99=$AC$7,$D99,0)),0)</f>
        <v>0</v>
      </c>
      <c r="AD99" s="150">
        <f>IF($C99&gt;0,(IF($AC$7&gt;=$C99+1,$E99,0)),0)</f>
        <v>0</v>
      </c>
      <c r="AE99" s="150">
        <f>IF($C99&gt;0,(IF($C99=$AC$7,$F99,0)),0)</f>
        <v>0</v>
      </c>
      <c r="AF99" s="165">
        <f>IF($C99&gt;0,(IF($AC$7&gt;=$C99+1,$G99,0)),0)</f>
        <v>0</v>
      </c>
      <c r="AG99" s="168">
        <f>IF($C99&gt;0,(IF($C99=$AG$7,(-FV(InflationRate,$AG$7,,$D99)),0)),0)</f>
        <v>0</v>
      </c>
      <c r="AH99" s="149">
        <f>IF($C99&gt;0,(IF($AG$7&gt;=$C99+1, (-FV(InflationRate,$AG$7,,$E99)), 0)),0)</f>
        <v>0</v>
      </c>
      <c r="AI99" s="149">
        <f>IF($C99&gt;0,(IF($AG$7&gt;=$C99+1, (-FV(InflationRate,$AG$7,,$F99)), 0)),0)</f>
        <v>0</v>
      </c>
      <c r="AJ99" s="171">
        <f>IF($C99&gt;0,(IF($AG$7&gt;=$C99+1, (-FV(InflationRate,$AG$7,,$G99)), 0)),0)</f>
        <v>0</v>
      </c>
      <c r="AK99" s="160">
        <f>IF($C99&gt;0,(IF($C99=$AK$7,(-FV(InflationRate,$AK$7,,$D99)),0)),0)</f>
        <v>0</v>
      </c>
      <c r="AL99" s="150">
        <f>IF($C99&gt;0,(IF($AK$7&gt;=$C99+1, (-FV(InflationRate,$AK$7,,$E99)), 0)),0)</f>
        <v>0</v>
      </c>
      <c r="AM99" s="150">
        <f>IF($C99&gt;0,(IF($AK$7&gt;=$C99+1, (-FV(InflationRate,$AK$7,,$F99)), 0)),0)</f>
        <v>0</v>
      </c>
      <c r="AN99" s="165">
        <f>IF($C99&gt;0,(IF($AK$7&gt;=$C99+1, (-FV(InflationRate,$AK$7,,$G99)), 0)),0)</f>
        <v>0</v>
      </c>
      <c r="AO99" s="168">
        <f>IF($C99&gt;0,(IF($C99=$AO$7,(-FV(InflationRate,$AO$7,,$D99)),0)),0)</f>
        <v>0</v>
      </c>
      <c r="AP99" s="149">
        <f>IF($C99&gt;0,(IF($AO$7&gt;=$C99+1, (-FV(InflationRate,$AO$7,,$E99)), 0)),0)</f>
        <v>0</v>
      </c>
      <c r="AQ99" s="149">
        <f>IF($C99&gt;0,(IF($AO$7&gt;=$C99+1, (-FV(InflationRate,$AO$7,,$F99)), 0)),0)</f>
        <v>0</v>
      </c>
      <c r="AR99" s="157">
        <f>IF($C99&gt;0,(IF($AO$7&gt;=$C99+1, (-FV(InflationRate,$AO$7,,$G99)), 0)),0)</f>
        <v>0</v>
      </c>
      <c r="AS99" s="160">
        <f>IF($C99&gt;0,(IF($C99=$AS$7,(-FV(InflationRate,$AS$7,,$D99)),0)),0)</f>
        <v>0</v>
      </c>
      <c r="AT99" s="150">
        <f>IF($C99&gt;0,(IF($AS$7&gt;=$C99+1, (-FV(InflationRate,$AS$7,,$E99)), 0)),0)</f>
        <v>0</v>
      </c>
      <c r="AU99" s="150">
        <f>IF($C99&gt;0,(IF($AS$7&gt;=$C99+1, (-FV(InflationRate,$AS$7,,$F99)), 0)),0)</f>
        <v>0</v>
      </c>
      <c r="AV99" s="165">
        <f>IF($C99&gt;0,(IF($AS$7&gt;=$C99+1, (-FV(InflationRate,$AS$7,,$G99)), 0)),0)</f>
        <v>0</v>
      </c>
      <c r="AW99" s="168">
        <f>IF($C99&gt;0,(IF($C99=$AW$7,(-FV(InflationRate,$AW$7,,$D99)),0)),0)</f>
        <v>0</v>
      </c>
      <c r="AX99" s="149">
        <f>IF($C99&gt;0,(IF($AW$7&gt;=$C99+1, (-FV(InflationRate,$AW$7,,$E99)), 0)),0)</f>
        <v>0</v>
      </c>
      <c r="AY99" s="149">
        <f>IF($C99&gt;0,(IF($AW$7&gt;=$C99+1, (-FV(InflationRate,$AW$7,,$F99)), 0)),0)</f>
        <v>0</v>
      </c>
      <c r="AZ99" s="157">
        <f>IF($C99&gt;0,(IF($AW$7&gt;=$C99+1, (-FV(InflationRate,$AW$7,,$G99)), 0)),0)</f>
        <v>0</v>
      </c>
      <c r="BA99" s="160">
        <f>IF($C99&gt;0,(IF($C99=$BA$7,(-FV(InflationRate,$BA$7,,$D99)),0)),0)</f>
        <v>0</v>
      </c>
      <c r="BB99" s="150">
        <f>IF($C99&gt;0,(IF($BA$7&gt;=$C99+1, (-FV(InflationRate,$BA$7,,$E99)), 0)),0)</f>
        <v>0</v>
      </c>
      <c r="BC99" s="150">
        <f>IF($C99&gt;0,(IF($BA$7&gt;=$C99+1, (-FV(InflationRate,$BA$7,,$F99)), 0)),0)</f>
        <v>0</v>
      </c>
      <c r="BD99" s="176">
        <f>IF($C99&gt;0,(IF($BA$7&gt;=$C99+1, (-FV(InflationRate,$BA$7,,$G99)), 0)),0)</f>
        <v>0</v>
      </c>
      <c r="BE99" s="168">
        <f>IF($C99&gt;0,(IF($C99=$BE$7,(-FV(InflationRate,$BE$7,,$D99)),0)),0)</f>
        <v>0</v>
      </c>
      <c r="BF99" s="149">
        <f>IF($C99&gt;0,(IF($BE$7&gt;=$C99+1, (-FV(InflationRate,$BE$7,,$E99)), 0)),0)</f>
        <v>0</v>
      </c>
      <c r="BG99" s="149">
        <f>IF($C99&gt;0,(IF($BE$7&gt;=$C99+1, (-FV(InflationRate,$BE$7,,$F99)), 0)),0)</f>
        <v>0</v>
      </c>
      <c r="BH99" s="171">
        <f>IF($C99&gt;0,(IF($BE$7&gt;=$C99+1, (-FV(InflationRate,$BE$7,,$G99)), 0)),0)</f>
        <v>0</v>
      </c>
      <c r="BI99" s="160">
        <f>IF($C99&gt;0,(IF($C99=$BI$7,(-FV(InflationRate,$BI$7,,$D99)),0)),0)</f>
        <v>0</v>
      </c>
      <c r="BJ99" s="150">
        <f>IF($C99&gt;0,(IF($BI$7&gt;=$C99+1, (-FV(InflationRate,$BI$7,,$E99)), 0)),0)</f>
        <v>0</v>
      </c>
      <c r="BK99" s="150">
        <f>IF($C99&gt;0,(IF($BI$7&gt;=$C99+1, (-FV(InflationRate,$BI$7,,$F99)), 0)),0)</f>
        <v>0</v>
      </c>
      <c r="BL99" s="176">
        <f>IF($C99&gt;0,(IF($BI$7&gt;=$C99+1, (-FV(InflationRate,$BI$7,,$G99)), 0)),0)</f>
        <v>0</v>
      </c>
      <c r="BM99" s="168">
        <f>IF($C99&gt;0,(IF($C99=$BM$7,(-FV(InflationRate,$BM$7,,$D99)),0)),0)</f>
        <v>0</v>
      </c>
      <c r="BN99" s="149">
        <f>IF($C99&gt;0,(IF($BM$7&gt;=$C99+1, (-FV(InflationRate,$BM$7,,$E99)), 0)),0)</f>
        <v>0</v>
      </c>
      <c r="BO99" s="149">
        <f>IF($C99&gt;0,(IF($BM$7&gt;=$C99+1, (-FV(InflationRate,$BM$7,,$F99)), 0)),0)</f>
        <v>0</v>
      </c>
      <c r="BP99" s="157">
        <f>IF($C99&gt;0,(IF($BM$7&gt;=$C99+1, (-FV(InflationRate,$BM$7,,$G99)), 0)),0)</f>
        <v>0</v>
      </c>
      <c r="BQ99" s="160">
        <f>IF($C99&gt;0,(IF($C99=$BQ$7,(-FV(InflationRate,$BQ$7,,$D99)),0)),0)</f>
        <v>0</v>
      </c>
      <c r="BR99" s="150">
        <f>IF($C99&gt;0,(IF($BQ$7&gt;=$C99+1, (-FV(InflationRate,$BQ$7,,$E99)), 0)),0)</f>
        <v>0</v>
      </c>
      <c r="BS99" s="150">
        <f>IF($C99&gt;0,(IF($BQ$7&gt;=$C99+1, (-FV(InflationRate,$BQ$7,,$F99)), 0)),0)</f>
        <v>0</v>
      </c>
      <c r="BT99" s="176">
        <f>IF($C99&gt;0,(IF($BQ$7&gt;=$C99+1, (-FV(InflationRate,$BQ$7,,$G99)), 0)),0)</f>
        <v>0</v>
      </c>
      <c r="BU99" s="168">
        <f>IF($C99&gt;0,(IF($C99=$BU$7,(-FV(InflationRate,$BU$7,,$D99)),0)),0)</f>
        <v>0</v>
      </c>
      <c r="BV99" s="149">
        <f>IF($C99&gt;0,(IF($BU$7&gt;=$C99+1, (-FV(InflationRate,$BU$7,,$E99)), 0)),0)</f>
        <v>0</v>
      </c>
      <c r="BW99" s="149">
        <f>IF($C99&gt;0,(IF($BU$7&gt;=$C99+1, (-FV(InflationRate,$BU$7,,$F99)), 0)),0)</f>
        <v>0</v>
      </c>
      <c r="BX99" s="157">
        <f>IF($C99&gt;0,(IF($BU$7&gt;=$C99+1, (-FV(InflationRate,$BU$7,,$G99)), 0)),0)</f>
        <v>0</v>
      </c>
      <c r="BY99" s="160">
        <f>IF($C99&gt;0,(IF($C99=$BY$7,(-FV(InflationRate,$BY$7,,$D99)),0)),0)</f>
        <v>0</v>
      </c>
      <c r="BZ99" s="150">
        <f>IF($C99&gt;0,(IF($BY$7&gt;=$C99+1, (-FV(InflationRate,$BY$7,,$E99)), 0)),0)</f>
        <v>0</v>
      </c>
      <c r="CA99" s="150">
        <f>IF($C99&gt;0,(IF($BY$7&gt;=$C99+1, (-FV(InflationRate,$BY$7,,$F99)), 0)),0)</f>
        <v>0</v>
      </c>
      <c r="CB99" s="176">
        <f>IF($C99&gt;0,(IF($BY$7&gt;=$C99+1, (-FV(InflationRate,$BY$7,,$G99)), 0)),0)</f>
        <v>0</v>
      </c>
      <c r="CC99" s="168">
        <f>IF($C99&gt;0,(IF($C99=$CC$7,(-FV(InflationRate,$CC$7,,$D99)),0)),0)</f>
        <v>0</v>
      </c>
      <c r="CD99" s="149">
        <f>IF($C99&gt;0,(IF($CC$7&gt;=$C99+1, (-FV(InflationRate,$CC$7,,$E99)), 0)),0)</f>
        <v>0</v>
      </c>
      <c r="CE99" s="149">
        <f>IF($C99&gt;0,(IF($CC$7&gt;=$C99+1, (-FV(InflationRate,$CC$7,,$F99)), 0)),0)</f>
        <v>0</v>
      </c>
      <c r="CF99" s="157">
        <f>IF($C99&gt;0,(IF($CC$7&gt;=$C99+1, (-FV(InflationRate,$CC$7,,$G99)), 0)),0)</f>
        <v>0</v>
      </c>
      <c r="CG99" s="160">
        <f>IF($C99&gt;0,(IF($C99=$CG$7,(-FV(InflationRate,$CG$7,,$D99)),0)),0)</f>
        <v>0</v>
      </c>
      <c r="CH99" s="150">
        <f>IF($C99&gt;0,(IF($CG$7&gt;=$C99+1, (-FV(InflationRate,$CG$7,,$E99)), 0)),0)</f>
        <v>0</v>
      </c>
      <c r="CI99" s="150">
        <f>IF($C99&gt;0,(IF($CG$7&gt;=$C99+1, (-FV(InflationRate,$CG$7,,$F99)), 0)),0)</f>
        <v>0</v>
      </c>
      <c r="CJ99" s="176">
        <f>IF($C99&gt;0,(IF($CG$7&gt;=$C99+1, (-FV(InflationRate,$CG$7,,$G99)), 0)),0)</f>
        <v>0</v>
      </c>
      <c r="CK99" s="168">
        <f>IF($C99&gt;0,(IF($C99=$CK$7,(-FV(InflationRate,$CK$7,,$D99)),0)),0)</f>
        <v>0</v>
      </c>
      <c r="CL99" s="149">
        <f>IF($C99&gt;0,(IF($CK$7&gt;=$C99+1, (-FV(InflationRate,$CK$7,,$E99)), 0)),0)</f>
        <v>0</v>
      </c>
      <c r="CM99" s="149">
        <f>IF($C99&gt;0,(IF($CK$7&gt;=$C99+1, (-FV(InflationRate,$CK$7,,$F99)), 0)),0)</f>
        <v>0</v>
      </c>
      <c r="CN99" s="157">
        <f>IF($C99&gt;0,(IF($CK$7&gt;=$C99+1, (-FV(InflationRate,$CK$7,,$G99)), 0)),0)</f>
        <v>0</v>
      </c>
      <c r="CO99" s="160">
        <f>IF($C99&gt;0,(IF($C99=$CO$7,(-FV(InflationRate,$CO$7,,$D99)),0)),0)</f>
        <v>0</v>
      </c>
      <c r="CP99" s="150">
        <f>IF($C99&gt;0,(IF($CO$7&gt;=$C99+1, (-FV(InflationRate,$CO$7,,$E99)), 0)),0)</f>
        <v>0</v>
      </c>
      <c r="CQ99" s="150">
        <f>IF($C99&gt;0,(IF($CO$7&gt;=$C99+1, (-FV(InflationRate,$CO$7,,$F99)), 0)),0)</f>
        <v>0</v>
      </c>
      <c r="CR99" s="176">
        <f>IF($C99&gt;0,(IF($CO$7&gt;=$C99+1, (-FV(InflationRate,$CO$7,,$G99)), 0)),0)</f>
        <v>0</v>
      </c>
      <c r="CS99" s="168">
        <f>IF($C99&gt;0,(IF($C99=$CS$7,(-FV(InflationRate,$CS$7,,$D99)),0)),0)</f>
        <v>0</v>
      </c>
      <c r="CT99" s="149">
        <f>IF($C99&gt;0,(IF($CS$7&gt;=$C99+1, (-FV(InflationRate,$CS$7,,$E99)), 0)),0)</f>
        <v>0</v>
      </c>
      <c r="CU99" s="149">
        <f>IF($C99&gt;0,(IF($CS$7&gt;=$C99+1, (-FV(InflationRate,$CS$7,,$F99)), 0)),0)</f>
        <v>0</v>
      </c>
      <c r="CV99" s="157">
        <f>IF($C99&gt;0,(IF($CS$7&gt;=$C99+1, (-FV(InflationRate,$CS$7,,$G99)), 0)),0)</f>
        <v>0</v>
      </c>
      <c r="CW99" s="160">
        <f>IF($C99&gt;0,(IF($C99=$CW$7,(-FV(InflationRate,$CW$7,,$D99)),0)),0)</f>
        <v>0</v>
      </c>
      <c r="CX99" s="150">
        <f>IF($C99&gt;0,(IF($CW$7&gt;=$C99+1, (-FV(InflationRate,$CW$7,,$E99)), 0)),0)</f>
        <v>0</v>
      </c>
      <c r="CY99" s="150">
        <f>IF($C99&gt;0,(IF($CW$7&gt;=$C99+1, (-FV(InflationRate,$CW$7,,$F99)), 0)),0)</f>
        <v>0</v>
      </c>
      <c r="CZ99" s="176">
        <f>IF($C99&gt;0,(IF($CW$7&gt;=$C99+1, (-FV(InflationRate,$CW$7,,$G99)), 0)),0)</f>
        <v>0</v>
      </c>
      <c r="DA99" s="168">
        <f>IF($C99&gt;0,(IF($C99=$DA$7,(-FV(InflationRate,$DA$7,,$D99)),0)),0)</f>
        <v>0</v>
      </c>
      <c r="DB99" s="149">
        <f>IF($C99&gt;0,(IF($DA$7&gt;=$C99+1, (-FV(InflationRate,$DA$7,,$E99)), 0)),0)</f>
        <v>0</v>
      </c>
      <c r="DC99" s="149">
        <f>IF($C99&gt;0,(IF($DA$7&gt;=$C99+1, (-FV(InflationRate,$DA$7,,$F99)), 0)),0)</f>
        <v>0</v>
      </c>
      <c r="DD99" s="157">
        <f>IF($C99&gt;0,(IF($DA$7&gt;=$C99+1, (-FV(InflationRate,$DA$7,,$G99)), 0)),0)</f>
        <v>0</v>
      </c>
    </row>
    <row r="100" spans="2:108" ht="12.75" hidden="1" customHeight="1" x14ac:dyDescent="0.2">
      <c r="B100" s="183" t="s">
        <v>270</v>
      </c>
      <c r="C100" s="556"/>
      <c r="D100" s="168">
        <f>D85-D87-D88-D91-D92-D95-D96-D99</f>
        <v>0</v>
      </c>
      <c r="E100" s="149">
        <f>E85-E88-E92-E96</f>
        <v>0</v>
      </c>
      <c r="F100" s="149"/>
      <c r="G100" s="149">
        <f>G85-G88-G92-G96</f>
        <v>0</v>
      </c>
      <c r="H100" s="168">
        <f>SUM(I100:AB100)</f>
        <v>0</v>
      </c>
      <c r="I100" s="610">
        <f>-PV(InterestRate,I$8,,(SUM(AC100:AF100)))</f>
        <v>0</v>
      </c>
      <c r="J100" s="610">
        <f>-PV(InterestRate,J$8,,(SUM(AG100:AJ100)))</f>
        <v>0</v>
      </c>
      <c r="K100" s="610">
        <f>-PV(InterestRate,K$8,,(SUM(AK100:AN100)))</f>
        <v>0</v>
      </c>
      <c r="L100" s="610">
        <f>-PV(InterestRate,L$8,,(SUM(AO100:AR100)))</f>
        <v>0</v>
      </c>
      <c r="M100" s="610">
        <f>-PV(InterestRate,M$8,,(SUM(AS100:AV100)))</f>
        <v>0</v>
      </c>
      <c r="N100" s="610">
        <f>-PV(InterestRate,N$8,,(SUM(AW100:AZ100)))</f>
        <v>0</v>
      </c>
      <c r="O100" s="610">
        <f>-PV(InterestRate,O$8,,(SUM(BA100:BD100)))</f>
        <v>0</v>
      </c>
      <c r="P100" s="610">
        <f>-PV(InterestRate,P$8,,(SUM(BE100:BH100)))</f>
        <v>0</v>
      </c>
      <c r="Q100" s="610">
        <f>-PV(InterestRate,Q$8,,(SUM(BI100:BL100)))</f>
        <v>0</v>
      </c>
      <c r="R100" s="610">
        <f>-PV(InterestRate,R$8,,(SUM(BM100:BP100)))</f>
        <v>0</v>
      </c>
      <c r="S100" s="610">
        <f>-PV(InterestRate,S$8,,(SUM(BQ100:BT100)))</f>
        <v>0</v>
      </c>
      <c r="T100" s="610">
        <f>-PV(InterestRate,T$8,,(SUM(BU100:BX100)))</f>
        <v>0</v>
      </c>
      <c r="U100" s="610">
        <f>-PV(InterestRate,U$8,,(SUM(BY100:CB100)))</f>
        <v>0</v>
      </c>
      <c r="V100" s="610">
        <f>-PV(InterestRate,V$8,,(SUM(CC100:CF100)))</f>
        <v>0</v>
      </c>
      <c r="W100" s="610">
        <f>-PV(InterestRate,W$8,,(SUM(CG100:CJ100)))</f>
        <v>0</v>
      </c>
      <c r="X100" s="610">
        <f>-PV(InterestRate,X$8,,(SUM(CK100:CN100)))</f>
        <v>0</v>
      </c>
      <c r="Y100" s="610">
        <f>-PV(InterestRate,Y$8,,(SUM(CO100:CR100)))</f>
        <v>0</v>
      </c>
      <c r="Z100" s="610">
        <f>-PV(InterestRate,Z$8,,(SUM(CS100:CV100)))</f>
        <v>0</v>
      </c>
      <c r="AA100" s="610">
        <f>-PV(InterestRate,AA$8,,(SUM(CW100:CZ100)))</f>
        <v>0</v>
      </c>
      <c r="AB100" s="611">
        <f>-PV(InterestRate,AB$8,,(SUM(DA100:DD100)))</f>
        <v>0</v>
      </c>
      <c r="AC100" s="160">
        <f>IF($C100&gt;0,(IF($C100=$AC$7,$D100,0)),0)</f>
        <v>0</v>
      </c>
      <c r="AD100" s="150">
        <f>IF($C100&gt;0,(IF($AC$7&gt;=$C100+1,$E100,0)),0)</f>
        <v>0</v>
      </c>
      <c r="AE100" s="150">
        <f>IF($C100&gt;0,(IF($C100=$AC$7,$F100,0)),0)</f>
        <v>0</v>
      </c>
      <c r="AF100" s="165">
        <f>IF($C100&gt;0,(IF($AC$7&gt;=$C100+1,$G100,0)),0)</f>
        <v>0</v>
      </c>
      <c r="AG100" s="168">
        <f>IF($C100&gt;0,(IF($C100=$AG$7,(-FV(InflationRate,$AG$7,,$D100)),0)),0)</f>
        <v>0</v>
      </c>
      <c r="AH100" s="149">
        <f>IF($C100&gt;0,(IF($AG$7&gt;=$C100+1, (-FV(InflationRate,$AG$7,,$E100)), 0)),0)</f>
        <v>0</v>
      </c>
      <c r="AI100" s="149">
        <f>IF($C100&gt;0,(IF($AG$7&gt;=$C100+1, (-FV(InflationRate,$AG$7,,$F100)), 0)),0)</f>
        <v>0</v>
      </c>
      <c r="AJ100" s="171">
        <f>IF($C100&gt;0,(IF($AG$7&gt;=$C100+1, (-FV(InflationRate,$AG$7,,$G100)), 0)),0)</f>
        <v>0</v>
      </c>
      <c r="AK100" s="160">
        <f>IF($C100&gt;0,(IF($C100=$AK$7,(-FV(InflationRate,$AK$7,,$D100)),0)),0)</f>
        <v>0</v>
      </c>
      <c r="AL100" s="150">
        <f>IF($C100&gt;0,(IF($AK$7&gt;=$C100+1, (-FV(InflationRate,$AK$7,,$E100)), 0)),0)</f>
        <v>0</v>
      </c>
      <c r="AM100" s="150">
        <f>IF($C100&gt;0,(IF($AK$7&gt;=$C100+1, (-FV(InflationRate,$AK$7,,$F100)), 0)),0)</f>
        <v>0</v>
      </c>
      <c r="AN100" s="165">
        <f>IF($C100&gt;0,(IF($AK$7&gt;=$C100+1, (-FV(InflationRate,$AK$7,,$G100)), 0)),0)</f>
        <v>0</v>
      </c>
      <c r="AO100" s="168">
        <f>IF($C100&gt;0,(IF($C100=$AO$7,(-FV(InflationRate,$AO$7,,$D100)),0)),0)</f>
        <v>0</v>
      </c>
      <c r="AP100" s="149">
        <f>IF($C100&gt;0,(IF($AO$7&gt;=$C100+1, (-FV(InflationRate,$AO$7,,$E100)), 0)),0)</f>
        <v>0</v>
      </c>
      <c r="AQ100" s="149">
        <f>IF($C100&gt;0,(IF($AO$7&gt;=$C100+1, (-FV(InflationRate,$AO$7,,$F100)), 0)),0)</f>
        <v>0</v>
      </c>
      <c r="AR100" s="157">
        <f>IF($C100&gt;0,(IF($AO$7&gt;=$C100+1, (-FV(InflationRate,$AO$7,,$G100)), 0)),0)</f>
        <v>0</v>
      </c>
      <c r="AS100" s="160">
        <f>IF($C100&gt;0,(IF($C100=$AS$7,(-FV(InflationRate,$AS$7,,$D100)),0)),0)</f>
        <v>0</v>
      </c>
      <c r="AT100" s="150">
        <f>IF($C100&gt;0,(IF($AS$7&gt;=$C100+1, (-FV(InflationRate,$AS$7,,$E100)), 0)),0)</f>
        <v>0</v>
      </c>
      <c r="AU100" s="150">
        <f>IF($C100&gt;0,(IF($AS$7&gt;=$C100+1, (-FV(InflationRate,$AS$7,,$F100)), 0)),0)</f>
        <v>0</v>
      </c>
      <c r="AV100" s="165">
        <f>IF($C100&gt;0,(IF($AS$7&gt;=$C100+1, (-FV(InflationRate,$AS$7,,$G100)), 0)),0)</f>
        <v>0</v>
      </c>
      <c r="AW100" s="168">
        <f>IF($C100&gt;0,(IF($C100=$AW$7,(-FV(InflationRate,$AW$7,,$D100)),0)),0)</f>
        <v>0</v>
      </c>
      <c r="AX100" s="149">
        <f>IF($C100&gt;0,(IF($AW$7&gt;=$C100+1, (-FV(InflationRate,$AW$7,,$E100)), 0)),0)</f>
        <v>0</v>
      </c>
      <c r="AY100" s="149">
        <f>IF($C100&gt;0,(IF($AW$7&gt;=$C100+1, (-FV(InflationRate,$AW$7,,$F100)), 0)),0)</f>
        <v>0</v>
      </c>
      <c r="AZ100" s="157">
        <f>IF($C100&gt;0,(IF($AW$7&gt;=$C100+1, (-FV(InflationRate,$AW$7,,$G100)), 0)),0)</f>
        <v>0</v>
      </c>
      <c r="BA100" s="160">
        <f>IF($C100&gt;0,(IF($C100=$BA$7,(-FV(InflationRate,$BA$7,,$D100)),0)),0)</f>
        <v>0</v>
      </c>
      <c r="BB100" s="150">
        <f>IF($C100&gt;0,(IF($BA$7&gt;=$C100+1, (-FV(InflationRate,$BA$7,,$E100)), 0)),0)</f>
        <v>0</v>
      </c>
      <c r="BC100" s="150">
        <f>IF($C100&gt;0,(IF($BA$7&gt;=$C100+1, (-FV(InflationRate,$BA$7,,$F100)), 0)),0)</f>
        <v>0</v>
      </c>
      <c r="BD100" s="176">
        <f>IF($C100&gt;0,(IF($BA$7&gt;=$C100+1, (-FV(InflationRate,$BA$7,,$G100)), 0)),0)</f>
        <v>0</v>
      </c>
      <c r="BE100" s="168">
        <f>IF($C100&gt;0,(IF($C100=$BE$7,(-FV(InflationRate,$BE$7,,$D100)),0)),0)</f>
        <v>0</v>
      </c>
      <c r="BF100" s="149">
        <f>IF($C100&gt;0,(IF($BE$7&gt;=$C100+1, (-FV(InflationRate,$BE$7,,$E100)), 0)),0)</f>
        <v>0</v>
      </c>
      <c r="BG100" s="149">
        <f>IF($C100&gt;0,(IF($BE$7&gt;=$C100+1, (-FV(InflationRate,$BE$7,,$F100)), 0)),0)</f>
        <v>0</v>
      </c>
      <c r="BH100" s="171">
        <f>IF($C100&gt;0,(IF($BE$7&gt;=$C100+1, (-FV(InflationRate,$BE$7,,$G100)), 0)),0)</f>
        <v>0</v>
      </c>
      <c r="BI100" s="160">
        <f>IF($C100&gt;0,(IF($C100=$BI$7,(-FV(InflationRate,$BI$7,,$D100)),0)),0)</f>
        <v>0</v>
      </c>
      <c r="BJ100" s="150">
        <f>IF($C100&gt;0,(IF($BI$7&gt;=$C100+1, (-FV(InflationRate,$BI$7,,$E100)), 0)),0)</f>
        <v>0</v>
      </c>
      <c r="BK100" s="150">
        <f>IF($C100&gt;0,(IF($BI$7&gt;=$C100+1, (-FV(InflationRate,$BI$7,,$F100)), 0)),0)</f>
        <v>0</v>
      </c>
      <c r="BL100" s="176">
        <f>IF($C100&gt;0,(IF($BI$7&gt;=$C100+1, (-FV(InflationRate,$BI$7,,$G100)), 0)),0)</f>
        <v>0</v>
      </c>
      <c r="BM100" s="168">
        <f>IF($C100&gt;0,(IF($C100=$BM$7,(-FV(InflationRate,$BM$7,,$D100)),0)),0)</f>
        <v>0</v>
      </c>
      <c r="BN100" s="149">
        <f>IF($C100&gt;0,(IF($BM$7&gt;=$C100+1, (-FV(InflationRate,$BM$7,,$E100)), 0)),0)</f>
        <v>0</v>
      </c>
      <c r="BO100" s="149">
        <f>IF($C100&gt;0,(IF($BM$7&gt;=$C100+1, (-FV(InflationRate,$BM$7,,$F100)), 0)),0)</f>
        <v>0</v>
      </c>
      <c r="BP100" s="157">
        <f>IF($C100&gt;0,(IF($BM$7&gt;=$C100+1, (-FV(InflationRate,$BM$7,,$G100)), 0)),0)</f>
        <v>0</v>
      </c>
      <c r="BQ100" s="160">
        <f>IF($C100&gt;0,(IF($C100=$BQ$7,(-FV(InflationRate,$BQ$7,,$D100)),0)),0)</f>
        <v>0</v>
      </c>
      <c r="BR100" s="150">
        <f>IF($C100&gt;0,(IF($BQ$7&gt;=$C100+1, (-FV(InflationRate,$BQ$7,,$E100)), 0)),0)</f>
        <v>0</v>
      </c>
      <c r="BS100" s="150">
        <f>IF($C100&gt;0,(IF($BQ$7&gt;=$C100+1, (-FV(InflationRate,$BQ$7,,$F100)), 0)),0)</f>
        <v>0</v>
      </c>
      <c r="BT100" s="176">
        <f>IF($C100&gt;0,(IF($BQ$7&gt;=$C100+1, (-FV(InflationRate,$BQ$7,,$G100)), 0)),0)</f>
        <v>0</v>
      </c>
      <c r="BU100" s="168">
        <f>IF($C100&gt;0,(IF($C100=$BU$7,(-FV(InflationRate,$BU$7,,$D100)),0)),0)</f>
        <v>0</v>
      </c>
      <c r="BV100" s="149">
        <f>IF($C100&gt;0,(IF($BU$7&gt;=$C100+1, (-FV(InflationRate,$BU$7,,$E100)), 0)),0)</f>
        <v>0</v>
      </c>
      <c r="BW100" s="149">
        <f>IF($C100&gt;0,(IF($BU$7&gt;=$C100+1, (-FV(InflationRate,$BU$7,,$F100)), 0)),0)</f>
        <v>0</v>
      </c>
      <c r="BX100" s="157">
        <f>IF($C100&gt;0,(IF($BU$7&gt;=$C100+1, (-FV(InflationRate,$BU$7,,$G100)), 0)),0)</f>
        <v>0</v>
      </c>
      <c r="BY100" s="160">
        <f>IF($C100&gt;0,(IF($C100=$BY$7,(-FV(InflationRate,$BY$7,,$D100)),0)),0)</f>
        <v>0</v>
      </c>
      <c r="BZ100" s="150">
        <f>IF($C100&gt;0,(IF($BY$7&gt;=$C100+1, (-FV(InflationRate,$BY$7,,$E100)), 0)),0)</f>
        <v>0</v>
      </c>
      <c r="CA100" s="150">
        <f>IF($C100&gt;0,(IF($BY$7&gt;=$C100+1, (-FV(InflationRate,$BY$7,,$F100)), 0)),0)</f>
        <v>0</v>
      </c>
      <c r="CB100" s="176">
        <f>IF($C100&gt;0,(IF($BY$7&gt;=$C100+1, (-FV(InflationRate,$BY$7,,$G100)), 0)),0)</f>
        <v>0</v>
      </c>
      <c r="CC100" s="168">
        <f>IF($C100&gt;0,(IF($C100=$CC$7,(-FV(InflationRate,$CC$7,,$D100)),0)),0)</f>
        <v>0</v>
      </c>
      <c r="CD100" s="149">
        <f>IF($C100&gt;0,(IF($CC$7&gt;=$C100+1, (-FV(InflationRate,$CC$7,,$E100)), 0)),0)</f>
        <v>0</v>
      </c>
      <c r="CE100" s="149">
        <f>IF($C100&gt;0,(IF($CC$7&gt;=$C100+1, (-FV(InflationRate,$CC$7,,$F100)), 0)),0)</f>
        <v>0</v>
      </c>
      <c r="CF100" s="157">
        <f>IF($C100&gt;0,(IF($CC$7&gt;=$C100+1, (-FV(InflationRate,$CC$7,,$G100)), 0)),0)</f>
        <v>0</v>
      </c>
      <c r="CG100" s="160">
        <f>IF($C100&gt;0,(IF($C100=$CG$7,(-FV(InflationRate,$CG$7,,$D100)),0)),0)</f>
        <v>0</v>
      </c>
      <c r="CH100" s="150">
        <f>IF($C100&gt;0,(IF($CG$7&gt;=$C100+1, (-FV(InflationRate,$CG$7,,$E100)), 0)),0)</f>
        <v>0</v>
      </c>
      <c r="CI100" s="150">
        <f>IF($C100&gt;0,(IF($CG$7&gt;=$C100+1, (-FV(InflationRate,$CG$7,,$F100)), 0)),0)</f>
        <v>0</v>
      </c>
      <c r="CJ100" s="176">
        <f>IF($C100&gt;0,(IF($CG$7&gt;=$C100+1, (-FV(InflationRate,$CG$7,,$G100)), 0)),0)</f>
        <v>0</v>
      </c>
      <c r="CK100" s="168">
        <f>IF($C100&gt;0,(IF($C100=$CK$7,(-FV(InflationRate,$CK$7,,$D100)),0)),0)</f>
        <v>0</v>
      </c>
      <c r="CL100" s="149">
        <f>IF($C100&gt;0,(IF($CK$7&gt;=$C100+1, (-FV(InflationRate,$CK$7,,$E100)), 0)),0)</f>
        <v>0</v>
      </c>
      <c r="CM100" s="149">
        <f>IF($C100&gt;0,(IF($CK$7&gt;=$C100+1, (-FV(InflationRate,$CK$7,,$F100)), 0)),0)</f>
        <v>0</v>
      </c>
      <c r="CN100" s="157">
        <f>IF($C100&gt;0,(IF($CK$7&gt;=$C100+1, (-FV(InflationRate,$CK$7,,$G100)), 0)),0)</f>
        <v>0</v>
      </c>
      <c r="CO100" s="160">
        <f>IF($C100&gt;0,(IF($C100=$CO$7,(-FV(InflationRate,$CO$7,,$D100)),0)),0)</f>
        <v>0</v>
      </c>
      <c r="CP100" s="150">
        <f>IF($C100&gt;0,(IF($CO$7&gt;=$C100+1, (-FV(InflationRate,$CO$7,,$E100)), 0)),0)</f>
        <v>0</v>
      </c>
      <c r="CQ100" s="150">
        <f>IF($C100&gt;0,(IF($CO$7&gt;=$C100+1, (-FV(InflationRate,$CO$7,,$F100)), 0)),0)</f>
        <v>0</v>
      </c>
      <c r="CR100" s="176">
        <f>IF($C100&gt;0,(IF($CO$7&gt;=$C100+1, (-FV(InflationRate,$CO$7,,$G100)), 0)),0)</f>
        <v>0</v>
      </c>
      <c r="CS100" s="168">
        <f>IF($C100&gt;0,(IF($C100=$CS$7,(-FV(InflationRate,$CS$7,,$D100)),0)),0)</f>
        <v>0</v>
      </c>
      <c r="CT100" s="149">
        <f>IF($C100&gt;0,(IF($CS$7&gt;=$C100+1, (-FV(InflationRate,$CS$7,,$E100)), 0)),0)</f>
        <v>0</v>
      </c>
      <c r="CU100" s="149">
        <f>IF($C100&gt;0,(IF($CS$7&gt;=$C100+1, (-FV(InflationRate,$CS$7,,$F100)), 0)),0)</f>
        <v>0</v>
      </c>
      <c r="CV100" s="157">
        <f>IF($C100&gt;0,(IF($CS$7&gt;=$C100+1, (-FV(InflationRate,$CS$7,,$G100)), 0)),0)</f>
        <v>0</v>
      </c>
      <c r="CW100" s="160">
        <f>IF($C100&gt;0,(IF($C100=$CW$7,(-FV(InflationRate,$CW$7,,$D100)),0)),0)</f>
        <v>0</v>
      </c>
      <c r="CX100" s="150">
        <f>IF($C100&gt;0,(IF($CW$7&gt;=$C100+1, (-FV(InflationRate,$CW$7,,$E100)), 0)),0)</f>
        <v>0</v>
      </c>
      <c r="CY100" s="150">
        <f>IF($C100&gt;0,(IF($CW$7&gt;=$C100+1, (-FV(InflationRate,$CW$7,,$F100)), 0)),0)</f>
        <v>0</v>
      </c>
      <c r="CZ100" s="176">
        <f>IF($C100&gt;0,(IF($CW$7&gt;=$C100+1, (-FV(InflationRate,$CW$7,,$G100)), 0)),0)</f>
        <v>0</v>
      </c>
      <c r="DA100" s="168">
        <f>IF($C100&gt;0,(IF($C100=$DA$7,(-FV(InflationRate,$DA$7,,$D100)),0)),0)</f>
        <v>0</v>
      </c>
      <c r="DB100" s="149">
        <f>IF($C100&gt;0,(IF($DA$7&gt;=$C100+1, (-FV(InflationRate,$DA$7,,$E100)), 0)),0)</f>
        <v>0</v>
      </c>
      <c r="DC100" s="149">
        <f>IF($C100&gt;0,(IF($DA$7&gt;=$C100+1, (-FV(InflationRate,$DA$7,,$F100)), 0)),0)</f>
        <v>0</v>
      </c>
      <c r="DD100" s="157">
        <f>IF($C100&gt;0,(IF($DA$7&gt;=$C100+1, (-FV(InflationRate,$DA$7,,$G100)), 0)),0)</f>
        <v>0</v>
      </c>
    </row>
    <row r="101" spans="2:108" ht="12.75" hidden="1" customHeight="1" x14ac:dyDescent="0.2">
      <c r="B101" s="183" t="s">
        <v>203</v>
      </c>
      <c r="C101" s="556"/>
      <c r="D101" s="168"/>
      <c r="E101" s="149"/>
      <c r="F101" s="149">
        <f>F85-F89-F93-F97</f>
        <v>0</v>
      </c>
      <c r="G101" s="149"/>
      <c r="H101" s="168">
        <f>SUM(I101:AB101)</f>
        <v>0</v>
      </c>
      <c r="I101" s="610">
        <f>-PV(InterestRate,I$8,,(SUM(AC101:AF101)))</f>
        <v>0</v>
      </c>
      <c r="J101" s="610">
        <f>-PV(InterestRate,J$8,,(SUM(AG101:AJ101)))</f>
        <v>0</v>
      </c>
      <c r="K101" s="610">
        <f>-PV(InterestRate,K$8,,(SUM(AK101:AN101)))</f>
        <v>0</v>
      </c>
      <c r="L101" s="610">
        <f>-PV(InterestRate,L$8,,(SUM(AO101:AR101)))</f>
        <v>0</v>
      </c>
      <c r="M101" s="610">
        <f>-PV(InterestRate,M$8,,(SUM(AS101:AV101)))</f>
        <v>0</v>
      </c>
      <c r="N101" s="610">
        <f>-PV(InterestRate,N$8,,(SUM(AW101:AZ101)))</f>
        <v>0</v>
      </c>
      <c r="O101" s="610">
        <f>-PV(InterestRate,O$8,,(SUM(BA101:BD101)))</f>
        <v>0</v>
      </c>
      <c r="P101" s="610">
        <f>-PV(InterestRate,P$8,,(SUM(BE101:BH101)))</f>
        <v>0</v>
      </c>
      <c r="Q101" s="610">
        <f>-PV(InterestRate,Q$8,,(SUM(BI101:BL101)))</f>
        <v>0</v>
      </c>
      <c r="R101" s="610">
        <f>-PV(InterestRate,R$8,,(SUM(BM101:BP101)))</f>
        <v>0</v>
      </c>
      <c r="S101" s="610">
        <f>-PV(InterestRate,S$8,,(SUM(BQ101:BT101)))</f>
        <v>0</v>
      </c>
      <c r="T101" s="610">
        <f>-PV(InterestRate,T$8,,(SUM(BU101:BX101)))</f>
        <v>0</v>
      </c>
      <c r="U101" s="610">
        <f>-PV(InterestRate,U$8,,(SUM(BY101:CB101)))</f>
        <v>0</v>
      </c>
      <c r="V101" s="610">
        <f>-PV(InterestRate,V$8,,(SUM(CC101:CF101)))</f>
        <v>0</v>
      </c>
      <c r="W101" s="610">
        <f>-PV(InterestRate,W$8,,(SUM(CG101:CJ101)))</f>
        <v>0</v>
      </c>
      <c r="X101" s="610">
        <f>-PV(InterestRate,X$8,,(SUM(CK101:CN101)))</f>
        <v>0</v>
      </c>
      <c r="Y101" s="610">
        <f>-PV(InterestRate,Y$8,,(SUM(CO101:CR101)))</f>
        <v>0</v>
      </c>
      <c r="Z101" s="610">
        <f>-PV(InterestRate,Z$8,,(SUM(CS101:CV101)))</f>
        <v>0</v>
      </c>
      <c r="AA101" s="610">
        <f>-PV(InterestRate,AA$8,,(SUM(CW101:CZ101)))</f>
        <v>0</v>
      </c>
      <c r="AB101" s="611">
        <f>-PV(InterestRate,AB$8,,(SUM(DA101:DD101)))</f>
        <v>0</v>
      </c>
      <c r="AC101" s="160">
        <f>IF($C101&gt;0,(IF($C101=$AC$7,$D101,0)),0)</f>
        <v>0</v>
      </c>
      <c r="AD101" s="150">
        <f>IF($C101&gt;0,(IF($AC$7&gt;=$C101+1,$E101,0)),0)</f>
        <v>0</v>
      </c>
      <c r="AE101" s="150">
        <f>IF($C101&gt;0,(IF($C101=$AC$7,$F101,0)),0)</f>
        <v>0</v>
      </c>
      <c r="AF101" s="165">
        <f>IF($C101&gt;0,(IF($AC$7&gt;=$C101+1,$G101,0)),0)</f>
        <v>0</v>
      </c>
      <c r="AG101" s="168">
        <f>IF($C101&gt;0,(IF($C101=$AG$7,(-FV(InflationRate,$AG$7,,$D101)),0)),0)</f>
        <v>0</v>
      </c>
      <c r="AH101" s="149">
        <f>IF($C101&gt;0,(IF($AG$7&gt;=$C101+1, (-FV(InflationRate,$AG$7,,$E101)), 0)),0)</f>
        <v>0</v>
      </c>
      <c r="AI101" s="149">
        <f>IF($C101&gt;0,(IF($AG$7&gt;=$C101+1, (-FV(InflationRate,$AG$7,,$F101)), 0)),0)</f>
        <v>0</v>
      </c>
      <c r="AJ101" s="171">
        <f>IF($C101&gt;0,(IF($AG$7&gt;=$C101+1, (-FV(InflationRate,$AG$7,,$G101)), 0)),0)</f>
        <v>0</v>
      </c>
      <c r="AK101" s="160">
        <f>IF($C101&gt;0,(IF($C101=$AK$7,(-FV(InflationRate,$AK$7,,$D101)),0)),0)</f>
        <v>0</v>
      </c>
      <c r="AL101" s="150">
        <f>IF($C101&gt;0,(IF($AK$7&gt;=$C101+1, (-FV(InflationRate,$AK$7,,$E101)), 0)),0)</f>
        <v>0</v>
      </c>
      <c r="AM101" s="150">
        <f>IF($C101&gt;0,(IF($AK$7&gt;=$C101+1, (-FV(InflationRate,$AK$7,,$F101)), 0)),0)</f>
        <v>0</v>
      </c>
      <c r="AN101" s="165">
        <f>IF($C101&gt;0,(IF($AK$7&gt;=$C101+1, (-FV(InflationRate,$AK$7,,$G101)), 0)),0)</f>
        <v>0</v>
      </c>
      <c r="AO101" s="168">
        <f>IF($C101&gt;0,(IF($C101=$AO$7,(-FV(InflationRate,$AO$7,,$D101)),0)),0)</f>
        <v>0</v>
      </c>
      <c r="AP101" s="149">
        <f>IF($C101&gt;0,(IF($AO$7&gt;=$C101+1, (-FV(InflationRate,$AO$7,,$E101)), 0)),0)</f>
        <v>0</v>
      </c>
      <c r="AQ101" s="149">
        <f>IF($C101&gt;0,(IF($AO$7&gt;=$C101+1, (-FV(InflationRate,$AO$7,,$F101)), 0)),0)</f>
        <v>0</v>
      </c>
      <c r="AR101" s="157">
        <f>IF($C101&gt;0,(IF($AO$7&gt;=$C101+1, (-FV(InflationRate,$AO$7,,$G101)), 0)),0)</f>
        <v>0</v>
      </c>
      <c r="AS101" s="160">
        <f>IF($C101&gt;0,(IF($C101=$AS$7,(-FV(InflationRate,$AS$7,,$D101)),0)),0)</f>
        <v>0</v>
      </c>
      <c r="AT101" s="150">
        <f>IF($C101&gt;0,(IF($AS$7&gt;=$C101+1, (-FV(InflationRate,$AS$7,,$E101)), 0)),0)</f>
        <v>0</v>
      </c>
      <c r="AU101" s="150">
        <f>IF($C101&gt;0,(IF($AS$7&gt;=$C101+1, (-FV(InflationRate,$AS$7,,$F101)), 0)),0)</f>
        <v>0</v>
      </c>
      <c r="AV101" s="165">
        <f>IF($C101&gt;0,(IF($AS$7&gt;=$C101+1, (-FV(InflationRate,$AS$7,,$G101)), 0)),0)</f>
        <v>0</v>
      </c>
      <c r="AW101" s="168">
        <f>IF($C101&gt;0,(IF($C101=$AW$7,(-FV(InflationRate,$AW$7,,$D101)),0)),0)</f>
        <v>0</v>
      </c>
      <c r="AX101" s="149">
        <f>IF($C101&gt;0,(IF($AW$7&gt;=$C101+1, (-FV(InflationRate,$AW$7,,$E101)), 0)),0)</f>
        <v>0</v>
      </c>
      <c r="AY101" s="149">
        <f>IF($C101&gt;0,(IF($AW$7&gt;=$C101+1, (-FV(InflationRate,$AW$7,,$F101)), 0)),0)</f>
        <v>0</v>
      </c>
      <c r="AZ101" s="157">
        <f>IF($C101&gt;0,(IF($AW$7&gt;=$C101+1, (-FV(InflationRate,$AW$7,,$G101)), 0)),0)</f>
        <v>0</v>
      </c>
      <c r="BA101" s="160">
        <f>IF($C101&gt;0,(IF($C101=$BA$7,(-FV(InflationRate,$BA$7,,$D101)),0)),0)</f>
        <v>0</v>
      </c>
      <c r="BB101" s="150">
        <f>IF($C101&gt;0,(IF($BA$7&gt;=$C101+1, (-FV(InflationRate,$BA$7,,$E101)), 0)),0)</f>
        <v>0</v>
      </c>
      <c r="BC101" s="150">
        <f>IF($C101&gt;0,(IF($BA$7&gt;=$C101+1, (-FV(InflationRate,$BA$7,,$F101)), 0)),0)</f>
        <v>0</v>
      </c>
      <c r="BD101" s="176">
        <f>IF($C101&gt;0,(IF($BA$7&gt;=$C101+1, (-FV(InflationRate,$BA$7,,$G101)), 0)),0)</f>
        <v>0</v>
      </c>
      <c r="BE101" s="168">
        <f>IF($C101&gt;0,(IF($C101=$BE$7,(-FV(InflationRate,$BE$7,,$D101)),0)),0)</f>
        <v>0</v>
      </c>
      <c r="BF101" s="149">
        <f>IF($C101&gt;0,(IF($BE$7&gt;=$C101+1, (-FV(InflationRate,$BE$7,,$E101)), 0)),0)</f>
        <v>0</v>
      </c>
      <c r="BG101" s="149">
        <f>IF($C101&gt;0,(IF($BE$7&gt;=$C101+1, (-FV(InflationRate,$BE$7,,$F101)), 0)),0)</f>
        <v>0</v>
      </c>
      <c r="BH101" s="171">
        <f>IF($C101&gt;0,(IF($BE$7&gt;=$C101+1, (-FV(InflationRate,$BE$7,,$G101)), 0)),0)</f>
        <v>0</v>
      </c>
      <c r="BI101" s="160">
        <f>IF($C101&gt;0,(IF($C101=$BI$7,(-FV(InflationRate,$BI$7,,$D101)),0)),0)</f>
        <v>0</v>
      </c>
      <c r="BJ101" s="150">
        <f>IF($C101&gt;0,(IF($BI$7&gt;=$C101+1, (-FV(InflationRate,$BI$7,,$E101)), 0)),0)</f>
        <v>0</v>
      </c>
      <c r="BK101" s="150">
        <f>IF($C101&gt;0,(IF($BI$7&gt;=$C101+1, (-FV(InflationRate,$BI$7,,$F101)), 0)),0)</f>
        <v>0</v>
      </c>
      <c r="BL101" s="176">
        <f>IF($C101&gt;0,(IF($BI$7&gt;=$C101+1, (-FV(InflationRate,$BI$7,,$G101)), 0)),0)</f>
        <v>0</v>
      </c>
      <c r="BM101" s="168">
        <f>IF($C101&gt;0,(IF($C101=$BM$7,(-FV(InflationRate,$BM$7,,$D101)),0)),0)</f>
        <v>0</v>
      </c>
      <c r="BN101" s="149">
        <f>IF($C101&gt;0,(IF($BM$7&gt;=$C101+1, (-FV(InflationRate,$BM$7,,$E101)), 0)),0)</f>
        <v>0</v>
      </c>
      <c r="BO101" s="149">
        <f>IF($C101&gt;0,(IF($BM$7&gt;=$C101+1, (-FV(InflationRate,$BM$7,,$F101)), 0)),0)</f>
        <v>0</v>
      </c>
      <c r="BP101" s="157">
        <f>IF($C101&gt;0,(IF($BM$7&gt;=$C101+1, (-FV(InflationRate,$BM$7,,$G101)), 0)),0)</f>
        <v>0</v>
      </c>
      <c r="BQ101" s="160">
        <f>IF($C101&gt;0,(IF($C101=$BQ$7,(-FV(InflationRate,$BQ$7,,$D101)),0)),0)</f>
        <v>0</v>
      </c>
      <c r="BR101" s="150">
        <f>IF($C101&gt;0,(IF($BQ$7&gt;=$C101+1, (-FV(InflationRate,$BQ$7,,$E101)), 0)),0)</f>
        <v>0</v>
      </c>
      <c r="BS101" s="150">
        <f>IF($C101&gt;0,(IF($BQ$7&gt;=$C101+1, (-FV(InflationRate,$BQ$7,,$F101)), 0)),0)</f>
        <v>0</v>
      </c>
      <c r="BT101" s="176">
        <f>IF($C101&gt;0,(IF($BQ$7&gt;=$C101+1, (-FV(InflationRate,$BQ$7,,$G101)), 0)),0)</f>
        <v>0</v>
      </c>
      <c r="BU101" s="168">
        <f>IF($C101&gt;0,(IF($C101=$BU$7,(-FV(InflationRate,$BU$7,,$D101)),0)),0)</f>
        <v>0</v>
      </c>
      <c r="BV101" s="149">
        <f>IF($C101&gt;0,(IF($BU$7&gt;=$C101+1, (-FV(InflationRate,$BU$7,,$E101)), 0)),0)</f>
        <v>0</v>
      </c>
      <c r="BW101" s="149">
        <f>IF($C101&gt;0,(IF($BU$7&gt;=$C101+1, (-FV(InflationRate,$BU$7,,$F101)), 0)),0)</f>
        <v>0</v>
      </c>
      <c r="BX101" s="157">
        <f>IF($C101&gt;0,(IF($BU$7&gt;=$C101+1, (-FV(InflationRate,$BU$7,,$G101)), 0)),0)</f>
        <v>0</v>
      </c>
      <c r="BY101" s="160">
        <f>IF($C101&gt;0,(IF($C101=$BY$7,(-FV(InflationRate,$BY$7,,$D101)),0)),0)</f>
        <v>0</v>
      </c>
      <c r="BZ101" s="150">
        <f>IF($C101&gt;0,(IF($BY$7&gt;=$C101+1, (-FV(InflationRate,$BY$7,,$E101)), 0)),0)</f>
        <v>0</v>
      </c>
      <c r="CA101" s="150">
        <f>IF($C101&gt;0,(IF($BY$7&gt;=$C101+1, (-FV(InflationRate,$BY$7,,$F101)), 0)),0)</f>
        <v>0</v>
      </c>
      <c r="CB101" s="176">
        <f>IF($C101&gt;0,(IF($BY$7&gt;=$C101+1, (-FV(InflationRate,$BY$7,,$G101)), 0)),0)</f>
        <v>0</v>
      </c>
      <c r="CC101" s="168">
        <f>IF($C101&gt;0,(IF($C101=$CC$7,(-FV(InflationRate,$CC$7,,$D101)),0)),0)</f>
        <v>0</v>
      </c>
      <c r="CD101" s="149">
        <f>IF($C101&gt;0,(IF($CC$7&gt;=$C101+1, (-FV(InflationRate,$CC$7,,$E101)), 0)),0)</f>
        <v>0</v>
      </c>
      <c r="CE101" s="149">
        <f>IF($C101&gt;0,(IF($CC$7&gt;=$C101+1, (-FV(InflationRate,$CC$7,,$F101)), 0)),0)</f>
        <v>0</v>
      </c>
      <c r="CF101" s="157">
        <f>IF($C101&gt;0,(IF($CC$7&gt;=$C101+1, (-FV(InflationRate,$CC$7,,$G101)), 0)),0)</f>
        <v>0</v>
      </c>
      <c r="CG101" s="160">
        <f>IF($C101&gt;0,(IF($C101=$CG$7,(-FV(InflationRate,$CG$7,,$D101)),0)),0)</f>
        <v>0</v>
      </c>
      <c r="CH101" s="150">
        <f>IF($C101&gt;0,(IF($CG$7&gt;=$C101+1, (-FV(InflationRate,$CG$7,,$E101)), 0)),0)</f>
        <v>0</v>
      </c>
      <c r="CI101" s="150">
        <f>IF($C101&gt;0,(IF($CG$7&gt;=$C101+1, (-FV(InflationRate,$CG$7,,$F101)), 0)),0)</f>
        <v>0</v>
      </c>
      <c r="CJ101" s="176">
        <f>IF($C101&gt;0,(IF($CG$7&gt;=$C101+1, (-FV(InflationRate,$CG$7,,$G101)), 0)),0)</f>
        <v>0</v>
      </c>
      <c r="CK101" s="168">
        <f>IF($C101&gt;0,(IF($C101=$CK$7,(-FV(InflationRate,$CK$7,,$D101)),0)),0)</f>
        <v>0</v>
      </c>
      <c r="CL101" s="149">
        <f>IF($C101&gt;0,(IF($CK$7&gt;=$C101+1, (-FV(InflationRate,$CK$7,,$E101)), 0)),0)</f>
        <v>0</v>
      </c>
      <c r="CM101" s="149">
        <f>IF($C101&gt;0,(IF($CK$7&gt;=$C101+1, (-FV(InflationRate,$CK$7,,$F101)), 0)),0)</f>
        <v>0</v>
      </c>
      <c r="CN101" s="157">
        <f>IF($C101&gt;0,(IF($CK$7&gt;=$C101+1, (-FV(InflationRate,$CK$7,,$G101)), 0)),0)</f>
        <v>0</v>
      </c>
      <c r="CO101" s="160">
        <f>IF($C101&gt;0,(IF($C101=$CO$7,(-FV(InflationRate,$CO$7,,$D101)),0)),0)</f>
        <v>0</v>
      </c>
      <c r="CP101" s="150">
        <f>IF($C101&gt;0,(IF($CO$7&gt;=$C101+1, (-FV(InflationRate,$CO$7,,$E101)), 0)),0)</f>
        <v>0</v>
      </c>
      <c r="CQ101" s="150">
        <f>IF($C101&gt;0,(IF($CO$7&gt;=$C101+1, (-FV(InflationRate,$CO$7,,$F101)), 0)),0)</f>
        <v>0</v>
      </c>
      <c r="CR101" s="176">
        <f>IF($C101&gt;0,(IF($CO$7&gt;=$C101+1, (-FV(InflationRate,$CO$7,,$G101)), 0)),0)</f>
        <v>0</v>
      </c>
      <c r="CS101" s="168">
        <f>IF($C101&gt;0,(IF($C101=$CS$7,(-FV(InflationRate,$CS$7,,$D101)),0)),0)</f>
        <v>0</v>
      </c>
      <c r="CT101" s="149">
        <f>IF($C101&gt;0,(IF($CS$7&gt;=$C101+1, (-FV(InflationRate,$CS$7,,$E101)), 0)),0)</f>
        <v>0</v>
      </c>
      <c r="CU101" s="149">
        <f>IF($C101&gt;0,(IF($CS$7&gt;=$C101+1, (-FV(InflationRate,$CS$7,,$F101)), 0)),0)</f>
        <v>0</v>
      </c>
      <c r="CV101" s="157">
        <f>IF($C101&gt;0,(IF($CS$7&gt;=$C101+1, (-FV(InflationRate,$CS$7,,$G101)), 0)),0)</f>
        <v>0</v>
      </c>
      <c r="CW101" s="160">
        <f>IF($C101&gt;0,(IF($C101=$CW$7,(-FV(InflationRate,$CW$7,,$D101)),0)),0)</f>
        <v>0</v>
      </c>
      <c r="CX101" s="150">
        <f>IF($C101&gt;0,(IF($CW$7&gt;=$C101+1, (-FV(InflationRate,$CW$7,,$E101)), 0)),0)</f>
        <v>0</v>
      </c>
      <c r="CY101" s="150">
        <f>IF($C101&gt;0,(IF($CW$7&gt;=$C101+1, (-FV(InflationRate,$CW$7,,$F101)), 0)),0)</f>
        <v>0</v>
      </c>
      <c r="CZ101" s="176">
        <f>IF($C101&gt;0,(IF($CW$7&gt;=$C101+1, (-FV(InflationRate,$CW$7,,$G101)), 0)),0)</f>
        <v>0</v>
      </c>
      <c r="DA101" s="168">
        <f>IF($C101&gt;0,(IF($C101=$DA$7,(-FV(InflationRate,$DA$7,,$D101)),0)),0)</f>
        <v>0</v>
      </c>
      <c r="DB101" s="149">
        <f>IF($C101&gt;0,(IF($DA$7&gt;=$C101+1, (-FV(InflationRate,$DA$7,,$E101)), 0)),0)</f>
        <v>0</v>
      </c>
      <c r="DC101" s="149">
        <f>IF($C101&gt;0,(IF($DA$7&gt;=$C101+1, (-FV(InflationRate,$DA$7,,$F101)), 0)),0)</f>
        <v>0</v>
      </c>
      <c r="DD101" s="157">
        <f>IF($C101&gt;0,(IF($DA$7&gt;=$C101+1, (-FV(InflationRate,$DA$7,,$G101)), 0)),0)</f>
        <v>0</v>
      </c>
    </row>
    <row r="102" spans="2:108" ht="12.75" customHeight="1" x14ac:dyDescent="0.2">
      <c r="B102" s="181"/>
      <c r="C102" s="189"/>
      <c r="D102" s="168"/>
      <c r="E102" s="149"/>
      <c r="F102" s="149"/>
      <c r="G102" s="149"/>
      <c r="H102" s="168"/>
      <c r="I102" s="600"/>
      <c r="J102" s="600"/>
      <c r="K102" s="600"/>
      <c r="L102" s="600"/>
      <c r="M102" s="600"/>
      <c r="N102" s="600"/>
      <c r="O102" s="600"/>
      <c r="P102" s="600"/>
      <c r="Q102" s="600"/>
      <c r="R102" s="600"/>
      <c r="S102" s="600"/>
      <c r="T102" s="600"/>
      <c r="U102" s="600"/>
      <c r="V102" s="600"/>
      <c r="W102" s="600"/>
      <c r="X102" s="600"/>
      <c r="Y102" s="600"/>
      <c r="Z102" s="600"/>
      <c r="AA102" s="600"/>
      <c r="AB102" s="601"/>
      <c r="AC102" s="160"/>
      <c r="AD102" s="150"/>
      <c r="AE102" s="150"/>
      <c r="AF102" s="165"/>
      <c r="AG102" s="168"/>
      <c r="AH102" s="149"/>
      <c r="AI102" s="149"/>
      <c r="AJ102" s="171"/>
      <c r="AK102" s="160"/>
      <c r="AL102" s="150"/>
      <c r="AM102" s="150"/>
      <c r="AN102" s="165"/>
      <c r="AO102" s="168"/>
      <c r="AP102" s="149"/>
      <c r="AQ102" s="149"/>
      <c r="AR102" s="157"/>
      <c r="AS102" s="160"/>
      <c r="AT102" s="150"/>
      <c r="AU102" s="150"/>
      <c r="AV102" s="165"/>
      <c r="AW102" s="168"/>
      <c r="AX102" s="149"/>
      <c r="AY102" s="149"/>
      <c r="AZ102" s="157"/>
      <c r="BA102" s="160"/>
      <c r="BB102" s="150"/>
      <c r="BC102" s="150"/>
      <c r="BD102" s="176"/>
      <c r="BE102" s="168"/>
      <c r="BF102" s="149"/>
      <c r="BG102" s="149"/>
      <c r="BH102" s="171"/>
      <c r="BI102" s="160"/>
      <c r="BJ102" s="150"/>
      <c r="BK102" s="150"/>
      <c r="BL102" s="176"/>
      <c r="BM102" s="168"/>
      <c r="BN102" s="149"/>
      <c r="BO102" s="149"/>
      <c r="BP102" s="157"/>
      <c r="BQ102" s="160"/>
      <c r="BR102" s="150"/>
      <c r="BS102" s="150"/>
      <c r="BT102" s="176"/>
      <c r="BU102" s="168"/>
      <c r="BV102" s="149"/>
      <c r="BW102" s="149"/>
      <c r="BX102" s="157"/>
      <c r="BY102" s="160"/>
      <c r="BZ102" s="150"/>
      <c r="CA102" s="150"/>
      <c r="CB102" s="176"/>
      <c r="CC102" s="168"/>
      <c r="CD102" s="149"/>
      <c r="CE102" s="149"/>
      <c r="CF102" s="157"/>
      <c r="CG102" s="160"/>
      <c r="CH102" s="150"/>
      <c r="CI102" s="150"/>
      <c r="CJ102" s="176"/>
      <c r="CK102" s="168"/>
      <c r="CL102" s="149"/>
      <c r="CM102" s="149"/>
      <c r="CN102" s="157"/>
      <c r="CO102" s="160"/>
      <c r="CP102" s="150"/>
      <c r="CQ102" s="150"/>
      <c r="CR102" s="176"/>
      <c r="CS102" s="168"/>
      <c r="CT102" s="149"/>
      <c r="CU102" s="149"/>
      <c r="CV102" s="157"/>
      <c r="CW102" s="160"/>
      <c r="CX102" s="150"/>
      <c r="CY102" s="150"/>
      <c r="CZ102" s="176"/>
      <c r="DA102" s="168"/>
      <c r="DB102" s="149"/>
      <c r="DC102" s="149"/>
      <c r="DD102" s="157"/>
    </row>
    <row r="103" spans="2:108" ht="12.75" customHeight="1" x14ac:dyDescent="0.2">
      <c r="B103" s="181" t="str">
        <f>'Effluent Disposal - MP'!B5</f>
        <v>Effluent Disposal - Meetinghouse Pond (223 Beach Road)</v>
      </c>
      <c r="C103" s="189"/>
      <c r="D103" s="194">
        <f>'Effluent Disposal - MP'!F34</f>
        <v>1189000</v>
      </c>
      <c r="E103" s="195">
        <f>'Effluent Disposal - MP'!F63</f>
        <v>11300</v>
      </c>
      <c r="F103" s="195">
        <f>'Effluent Disposal - MP'!F94</f>
        <v>0</v>
      </c>
      <c r="G103" s="195">
        <f>'Effluent Disposal - MP'!F123</f>
        <v>10800</v>
      </c>
      <c r="H103" s="168"/>
      <c r="I103" s="600"/>
      <c r="J103" s="600"/>
      <c r="K103" s="600"/>
      <c r="L103" s="600"/>
      <c r="M103" s="600"/>
      <c r="N103" s="600"/>
      <c r="O103" s="600"/>
      <c r="P103" s="600"/>
      <c r="Q103" s="600"/>
      <c r="R103" s="600"/>
      <c r="S103" s="600"/>
      <c r="T103" s="600"/>
      <c r="U103" s="600"/>
      <c r="V103" s="600"/>
      <c r="W103" s="600"/>
      <c r="X103" s="600"/>
      <c r="Y103" s="600"/>
      <c r="Z103" s="600"/>
      <c r="AA103" s="600"/>
      <c r="AB103" s="601"/>
      <c r="AC103" s="160"/>
      <c r="AD103" s="150"/>
      <c r="AE103" s="150"/>
      <c r="AF103" s="165"/>
      <c r="AG103" s="168"/>
      <c r="AH103" s="149"/>
      <c r="AI103" s="149"/>
      <c r="AJ103" s="171"/>
      <c r="AK103" s="160"/>
      <c r="AL103" s="150"/>
      <c r="AM103" s="150"/>
      <c r="AN103" s="165"/>
      <c r="AO103" s="168"/>
      <c r="AP103" s="149"/>
      <c r="AQ103" s="149"/>
      <c r="AR103" s="157"/>
      <c r="AS103" s="160"/>
      <c r="AT103" s="150"/>
      <c r="AU103" s="150"/>
      <c r="AV103" s="165"/>
      <c r="AW103" s="168"/>
      <c r="AX103" s="149"/>
      <c r="AY103" s="149"/>
      <c r="AZ103" s="157"/>
      <c r="BA103" s="160"/>
      <c r="BB103" s="150"/>
      <c r="BC103" s="150"/>
      <c r="BD103" s="176"/>
      <c r="BE103" s="168"/>
      <c r="BF103" s="149"/>
      <c r="BG103" s="149"/>
      <c r="BH103" s="171"/>
      <c r="BI103" s="160"/>
      <c r="BJ103" s="150"/>
      <c r="BK103" s="150"/>
      <c r="BL103" s="176"/>
      <c r="BM103" s="168"/>
      <c r="BN103" s="149"/>
      <c r="BO103" s="149"/>
      <c r="BP103" s="157"/>
      <c r="BQ103" s="160"/>
      <c r="BR103" s="150"/>
      <c r="BS103" s="150"/>
      <c r="BT103" s="176"/>
      <c r="BU103" s="168"/>
      <c r="BV103" s="149"/>
      <c r="BW103" s="149"/>
      <c r="BX103" s="157"/>
      <c r="BY103" s="160"/>
      <c r="BZ103" s="150"/>
      <c r="CA103" s="150"/>
      <c r="CB103" s="176"/>
      <c r="CC103" s="168"/>
      <c r="CD103" s="149"/>
      <c r="CE103" s="149"/>
      <c r="CF103" s="157"/>
      <c r="CG103" s="160"/>
      <c r="CH103" s="150"/>
      <c r="CI103" s="150"/>
      <c r="CJ103" s="176"/>
      <c r="CK103" s="168"/>
      <c r="CL103" s="149"/>
      <c r="CM103" s="149"/>
      <c r="CN103" s="157"/>
      <c r="CO103" s="160"/>
      <c r="CP103" s="150"/>
      <c r="CQ103" s="150"/>
      <c r="CR103" s="176"/>
      <c r="CS103" s="168"/>
      <c r="CT103" s="149"/>
      <c r="CU103" s="149"/>
      <c r="CV103" s="157"/>
      <c r="CW103" s="160"/>
      <c r="CX103" s="150"/>
      <c r="CY103" s="150"/>
      <c r="CZ103" s="176"/>
      <c r="DA103" s="168"/>
      <c r="DB103" s="149"/>
      <c r="DC103" s="149"/>
      <c r="DD103" s="157"/>
    </row>
    <row r="104" spans="2:108" ht="12.75" customHeight="1" x14ac:dyDescent="0.2">
      <c r="B104" s="182" t="s">
        <v>215</v>
      </c>
      <c r="C104" s="189"/>
      <c r="D104" s="168"/>
      <c r="E104" s="149"/>
      <c r="F104" s="149"/>
      <c r="G104" s="149"/>
      <c r="H104" s="168"/>
      <c r="I104" s="600"/>
      <c r="J104" s="600"/>
      <c r="K104" s="600"/>
      <c r="L104" s="600"/>
      <c r="M104" s="600"/>
      <c r="N104" s="600"/>
      <c r="O104" s="600"/>
      <c r="P104" s="600"/>
      <c r="Q104" s="600"/>
      <c r="R104" s="600"/>
      <c r="S104" s="600"/>
      <c r="T104" s="600"/>
      <c r="U104" s="600"/>
      <c r="V104" s="600"/>
      <c r="W104" s="600"/>
      <c r="X104" s="600"/>
      <c r="Y104" s="600"/>
      <c r="Z104" s="600"/>
      <c r="AA104" s="600"/>
      <c r="AB104" s="601"/>
      <c r="AC104" s="160"/>
      <c r="AD104" s="150"/>
      <c r="AE104" s="150"/>
      <c r="AF104" s="165"/>
      <c r="AG104" s="168"/>
      <c r="AH104" s="149"/>
      <c r="AI104" s="149"/>
      <c r="AJ104" s="171"/>
      <c r="AK104" s="160"/>
      <c r="AL104" s="150"/>
      <c r="AM104" s="150"/>
      <c r="AN104" s="165"/>
      <c r="AO104" s="168"/>
      <c r="AP104" s="149"/>
      <c r="AQ104" s="149"/>
      <c r="AR104" s="157"/>
      <c r="AS104" s="160"/>
      <c r="AT104" s="150"/>
      <c r="AU104" s="150"/>
      <c r="AV104" s="165"/>
      <c r="AW104" s="168"/>
      <c r="AX104" s="149"/>
      <c r="AY104" s="149"/>
      <c r="AZ104" s="157"/>
      <c r="BA104" s="160"/>
      <c r="BB104" s="150"/>
      <c r="BC104" s="150"/>
      <c r="BD104" s="176"/>
      <c r="BE104" s="168"/>
      <c r="BF104" s="149"/>
      <c r="BG104" s="149"/>
      <c r="BH104" s="171"/>
      <c r="BI104" s="160"/>
      <c r="BJ104" s="150"/>
      <c r="BK104" s="150"/>
      <c r="BL104" s="176"/>
      <c r="BM104" s="168"/>
      <c r="BN104" s="149"/>
      <c r="BO104" s="149"/>
      <c r="BP104" s="157"/>
      <c r="BQ104" s="160"/>
      <c r="BR104" s="150"/>
      <c r="BS104" s="150"/>
      <c r="BT104" s="176"/>
      <c r="BU104" s="168"/>
      <c r="BV104" s="149"/>
      <c r="BW104" s="149"/>
      <c r="BX104" s="157"/>
      <c r="BY104" s="160"/>
      <c r="BZ104" s="150"/>
      <c r="CA104" s="150"/>
      <c r="CB104" s="176"/>
      <c r="CC104" s="168"/>
      <c r="CD104" s="149"/>
      <c r="CE104" s="149"/>
      <c r="CF104" s="157"/>
      <c r="CG104" s="160"/>
      <c r="CH104" s="150"/>
      <c r="CI104" s="150"/>
      <c r="CJ104" s="176"/>
      <c r="CK104" s="168"/>
      <c r="CL104" s="149"/>
      <c r="CM104" s="149"/>
      <c r="CN104" s="157"/>
      <c r="CO104" s="160"/>
      <c r="CP104" s="150"/>
      <c r="CQ104" s="150"/>
      <c r="CR104" s="176"/>
      <c r="CS104" s="168"/>
      <c r="CT104" s="149"/>
      <c r="CU104" s="149"/>
      <c r="CV104" s="157"/>
      <c r="CW104" s="160"/>
      <c r="CX104" s="150"/>
      <c r="CY104" s="150"/>
      <c r="CZ104" s="176"/>
      <c r="DA104" s="168"/>
      <c r="DB104" s="149"/>
      <c r="DC104" s="149"/>
      <c r="DD104" s="157"/>
    </row>
    <row r="105" spans="2:108" ht="12.75" customHeight="1" x14ac:dyDescent="0.2">
      <c r="B105" s="183" t="s">
        <v>518</v>
      </c>
      <c r="C105" s="556">
        <v>1</v>
      </c>
      <c r="D105" s="557">
        <f>132100*0.5</f>
        <v>66050</v>
      </c>
      <c r="E105" s="149"/>
      <c r="F105" s="149"/>
      <c r="G105" s="149"/>
      <c r="H105" s="168">
        <f>SUM(I105:AB105)</f>
        <v>65073.891625615768</v>
      </c>
      <c r="I105" s="610">
        <f>-PV(InterestRate,I$8,,(SUM(AC105:AF105)))</f>
        <v>65073.891625615768</v>
      </c>
      <c r="J105" s="610">
        <f>-PV(InterestRate,J$8,,(SUM(AG105:AJ105)))</f>
        <v>0</v>
      </c>
      <c r="K105" s="610">
        <f>-PV(InterestRate,K$8,,(SUM(AK105:AN105)))</f>
        <v>0</v>
      </c>
      <c r="L105" s="610">
        <f>-PV(InterestRate,L$8,,(SUM(AO105:AR105)))</f>
        <v>0</v>
      </c>
      <c r="M105" s="610">
        <f>-PV(InterestRate,M$8,,(SUM(AS105:AV105)))</f>
        <v>0</v>
      </c>
      <c r="N105" s="610">
        <f>-PV(InterestRate,N$8,,(SUM(AW105:AZ105)))</f>
        <v>0</v>
      </c>
      <c r="O105" s="610">
        <f>-PV(InterestRate,O$8,,(SUM(BA105:BD105)))</f>
        <v>0</v>
      </c>
      <c r="P105" s="610">
        <f>-PV(InterestRate,P$8,,(SUM(BE105:BH105)))</f>
        <v>0</v>
      </c>
      <c r="Q105" s="610">
        <f>-PV(InterestRate,Q$8,,(SUM(BI105:BL105)))</f>
        <v>0</v>
      </c>
      <c r="R105" s="610">
        <f>-PV(InterestRate,R$8,,(SUM(BM105:BP105)))</f>
        <v>0</v>
      </c>
      <c r="S105" s="610">
        <f>-PV(InterestRate,S$8,,(SUM(BQ105:BT105)))</f>
        <v>0</v>
      </c>
      <c r="T105" s="610">
        <f>-PV(InterestRate,T$8,,(SUM(BU105:BX105)))</f>
        <v>0</v>
      </c>
      <c r="U105" s="610">
        <f>-PV(InterestRate,U$8,,(SUM(BY105:CB105)))</f>
        <v>0</v>
      </c>
      <c r="V105" s="610">
        <f>-PV(InterestRate,V$8,,(SUM(CC105:CF105)))</f>
        <v>0</v>
      </c>
      <c r="W105" s="610">
        <f>-PV(InterestRate,W$8,,(SUM(CG105:CJ105)))</f>
        <v>0</v>
      </c>
      <c r="X105" s="610">
        <f>-PV(InterestRate,X$8,,(SUM(CK105:CN105)))</f>
        <v>0</v>
      </c>
      <c r="Y105" s="610">
        <f>-PV(InterestRate,Y$8,,(SUM(CO105:CR105)))</f>
        <v>0</v>
      </c>
      <c r="Z105" s="610">
        <f>-PV(InterestRate,Z$8,,(SUM(CS105:CV105)))</f>
        <v>0</v>
      </c>
      <c r="AA105" s="610">
        <f>-PV(InterestRate,AA$8,,(SUM(CW105:CZ105)))</f>
        <v>0</v>
      </c>
      <c r="AB105" s="611">
        <f>-PV(InterestRate,AB$8,,(SUM(DA105:DD105)))</f>
        <v>0</v>
      </c>
      <c r="AC105" s="160">
        <f>IF($C105&gt;0,(IF($C105=$AC$7,$D105,0)),0)</f>
        <v>66050</v>
      </c>
      <c r="AD105" s="150">
        <f>IF($C105&gt;0,(IF($AC$7&gt;=$C105+1,$E105,0)),0)</f>
        <v>0</v>
      </c>
      <c r="AE105" s="150">
        <f>IF($C105&gt;0,(IF($C105=$AC$7,$F105,0)),0)</f>
        <v>0</v>
      </c>
      <c r="AF105" s="165">
        <f>IF($C105&gt;0,(IF($AC$7&gt;=$C105+1,$G105,0)),0)</f>
        <v>0</v>
      </c>
      <c r="AG105" s="168">
        <f>IF($C105&gt;0,(IF($C105=$AG$7,(-FV(InflationRate,$AG$7,,$D105)),0)),0)</f>
        <v>0</v>
      </c>
      <c r="AH105" s="149">
        <f>IF($C105&gt;0,(IF($AG$7&gt;=$C105+1, (-FV(InflationRate,$AG$7,,$E105)), 0)),0)</f>
        <v>0</v>
      </c>
      <c r="AI105" s="149">
        <f>IF($C105&gt;0,(IF($AG$7&gt;=$C105+1, (-FV(InflationRate,$AG$7,,$F105)), 0)),0)</f>
        <v>0</v>
      </c>
      <c r="AJ105" s="171">
        <f>IF($C105&gt;0,(IF($AG$7&gt;=$C105+1, (-FV(InflationRate,$AG$7,,$G105)), 0)),0)</f>
        <v>0</v>
      </c>
      <c r="AK105" s="160">
        <f>IF($C105&gt;0,(IF($C105=$AK$7,(-FV(InflationRate,$AK$7,,$D105)),0)),0)</f>
        <v>0</v>
      </c>
      <c r="AL105" s="150">
        <f>IF($C105&gt;0,(IF($AK$7&gt;=$C105+1, (-FV(InflationRate,$AK$7,,$E105)), 0)),0)</f>
        <v>0</v>
      </c>
      <c r="AM105" s="150">
        <f>IF($C105&gt;0,(IF($AK$7&gt;=$C105+1, (-FV(InflationRate,$AK$7,,$F105)), 0)),0)</f>
        <v>0</v>
      </c>
      <c r="AN105" s="165">
        <f>IF($C105&gt;0,(IF($AK$7&gt;=$C105+1, (-FV(InflationRate,$AK$7,,$G105)), 0)),0)</f>
        <v>0</v>
      </c>
      <c r="AO105" s="168">
        <f>IF($C105&gt;0,(IF($C105=$AO$7,(-FV(InflationRate,$AO$7,,$D105)),0)),0)</f>
        <v>0</v>
      </c>
      <c r="AP105" s="149">
        <f>IF($C105&gt;0,(IF($AO$7&gt;=$C105+1, (-FV(InflationRate,$AO$7,,$E105)), 0)),0)</f>
        <v>0</v>
      </c>
      <c r="AQ105" s="149">
        <f>IF($C105&gt;0,(IF($AO$7&gt;=$C105+1, (-FV(InflationRate,$AO$7,,$F105)), 0)),0)</f>
        <v>0</v>
      </c>
      <c r="AR105" s="157">
        <f>IF($C105&gt;0,(IF($AO$7&gt;=$C105+1, (-FV(InflationRate,$AO$7,,$G105)), 0)),0)</f>
        <v>0</v>
      </c>
      <c r="AS105" s="160">
        <f>IF($C105&gt;0,(IF($C105=$AS$7,(-FV(InflationRate,$AS$7,,$D105)),0)),0)</f>
        <v>0</v>
      </c>
      <c r="AT105" s="150">
        <f>IF($C105&gt;0,(IF($AS$7&gt;=$C105+1, (-FV(InflationRate,$AS$7,,$E105)), 0)),0)</f>
        <v>0</v>
      </c>
      <c r="AU105" s="150">
        <f>IF($C105&gt;0,(IF($AS$7&gt;=$C105+1, (-FV(InflationRate,$AS$7,,$F105)), 0)),0)</f>
        <v>0</v>
      </c>
      <c r="AV105" s="165">
        <f>IF($C105&gt;0,(IF($AS$7&gt;=$C105+1, (-FV(InflationRate,$AS$7,,$G105)), 0)),0)</f>
        <v>0</v>
      </c>
      <c r="AW105" s="168">
        <f>IF($C105&gt;0,(IF($C105=$AW$7,(-FV(InflationRate,$AW$7,,$D105)),0)),0)</f>
        <v>0</v>
      </c>
      <c r="AX105" s="149">
        <f>IF($C105&gt;0,(IF($AW$7&gt;=$C105+1, (-FV(InflationRate,$AW$7,,$E105)), 0)),0)</f>
        <v>0</v>
      </c>
      <c r="AY105" s="149">
        <f>IF($C105&gt;0,(IF($AW$7&gt;=$C105+1, (-FV(InflationRate,$AW$7,,$F105)), 0)),0)</f>
        <v>0</v>
      </c>
      <c r="AZ105" s="157">
        <f>IF($C105&gt;0,(IF($AW$7&gt;=$C105+1, (-FV(InflationRate,$AW$7,,$G105)), 0)),0)</f>
        <v>0</v>
      </c>
      <c r="BA105" s="160">
        <f>IF($C105&gt;0,(IF($C105=$BA$7,(-FV(InflationRate,$BA$7,,$D105)),0)),0)</f>
        <v>0</v>
      </c>
      <c r="BB105" s="150">
        <f>IF($C105&gt;0,(IF($BA$7&gt;=$C105+1, (-FV(InflationRate,$BA$7,,$E105)), 0)),0)</f>
        <v>0</v>
      </c>
      <c r="BC105" s="150">
        <f>IF($C105&gt;0,(IF($BA$7&gt;=$C105+1, (-FV(InflationRate,$BA$7,,$F105)), 0)),0)</f>
        <v>0</v>
      </c>
      <c r="BD105" s="176">
        <f>IF($C105&gt;0,(IF($BA$7&gt;=$C105+1, (-FV(InflationRate,$BA$7,,$G105)), 0)),0)</f>
        <v>0</v>
      </c>
      <c r="BE105" s="168">
        <f>IF($C105&gt;0,(IF($C105=$BE$7,(-FV(InflationRate,$BE$7,,$D105)),0)),0)</f>
        <v>0</v>
      </c>
      <c r="BF105" s="149">
        <f>IF($C105&gt;0,(IF($BE$7&gt;=$C105+1, (-FV(InflationRate,$BE$7,,$E105)), 0)),0)</f>
        <v>0</v>
      </c>
      <c r="BG105" s="149">
        <f>IF($C105&gt;0,(IF($BE$7&gt;=$C105+1, (-FV(InflationRate,$BE$7,,$F105)), 0)),0)</f>
        <v>0</v>
      </c>
      <c r="BH105" s="171">
        <f>IF($C105&gt;0,(IF($BE$7&gt;=$C105+1, (-FV(InflationRate,$BE$7,,$G105)), 0)),0)</f>
        <v>0</v>
      </c>
      <c r="BI105" s="160">
        <f>IF($C105&gt;0,(IF($C105=$BI$7,(-FV(InflationRate,$BI$7,,$D105)),0)),0)</f>
        <v>0</v>
      </c>
      <c r="BJ105" s="150">
        <f>IF($C105&gt;0,(IF($BI$7&gt;=$C105+1, (-FV(InflationRate,$BI$7,,$E105)), 0)),0)</f>
        <v>0</v>
      </c>
      <c r="BK105" s="150">
        <f>IF($C105&gt;0,(IF($BI$7&gt;=$C105+1, (-FV(InflationRate,$BI$7,,$F105)), 0)),0)</f>
        <v>0</v>
      </c>
      <c r="BL105" s="176">
        <f>IF($C105&gt;0,(IF($BI$7&gt;=$C105+1, (-FV(InflationRate,$BI$7,,$G105)), 0)),0)</f>
        <v>0</v>
      </c>
      <c r="BM105" s="168">
        <f>IF($C105&gt;0,(IF($C105=$BM$7,(-FV(InflationRate,$BM$7,,$D105)),0)),0)</f>
        <v>0</v>
      </c>
      <c r="BN105" s="149">
        <f>IF($C105&gt;0,(IF($BM$7&gt;=$C105+1, (-FV(InflationRate,$BM$7,,$E105)), 0)),0)</f>
        <v>0</v>
      </c>
      <c r="BO105" s="149">
        <f>IF($C105&gt;0,(IF($BM$7&gt;=$C105+1, (-FV(InflationRate,$BM$7,,$F105)), 0)),0)</f>
        <v>0</v>
      </c>
      <c r="BP105" s="157">
        <f>IF($C105&gt;0,(IF($BM$7&gt;=$C105+1, (-FV(InflationRate,$BM$7,,$G105)), 0)),0)</f>
        <v>0</v>
      </c>
      <c r="BQ105" s="160">
        <f>IF($C105&gt;0,(IF($C105=$BQ$7,(-FV(InflationRate,$BQ$7,,$D105)),0)),0)</f>
        <v>0</v>
      </c>
      <c r="BR105" s="150">
        <f>IF($C105&gt;0,(IF($BQ$7&gt;=$C105+1, (-FV(InflationRate,$BQ$7,,$E105)), 0)),0)</f>
        <v>0</v>
      </c>
      <c r="BS105" s="150">
        <f>IF($C105&gt;0,(IF($BQ$7&gt;=$C105+1, (-FV(InflationRate,$BQ$7,,$F105)), 0)),0)</f>
        <v>0</v>
      </c>
      <c r="BT105" s="176">
        <f>IF($C105&gt;0,(IF($BQ$7&gt;=$C105+1, (-FV(InflationRate,$BQ$7,,$G105)), 0)),0)</f>
        <v>0</v>
      </c>
      <c r="BU105" s="168">
        <f>IF($C105&gt;0,(IF($C105=$BU$7,(-FV(InflationRate,$BU$7,,$D105)),0)),0)</f>
        <v>0</v>
      </c>
      <c r="BV105" s="149">
        <f>IF($C105&gt;0,(IF($BU$7&gt;=$C105+1, (-FV(InflationRate,$BU$7,,$E105)), 0)),0)</f>
        <v>0</v>
      </c>
      <c r="BW105" s="149">
        <f>IF($C105&gt;0,(IF($BU$7&gt;=$C105+1, (-FV(InflationRate,$BU$7,,$F105)), 0)),0)</f>
        <v>0</v>
      </c>
      <c r="BX105" s="157">
        <f>IF($C105&gt;0,(IF($BU$7&gt;=$C105+1, (-FV(InflationRate,$BU$7,,$G105)), 0)),0)</f>
        <v>0</v>
      </c>
      <c r="BY105" s="160">
        <f>IF($C105&gt;0,(IF($C105=$BY$7,(-FV(InflationRate,$BY$7,,$D105)),0)),0)</f>
        <v>0</v>
      </c>
      <c r="BZ105" s="150">
        <f>IF($C105&gt;0,(IF($BY$7&gt;=$C105+1, (-FV(InflationRate,$BY$7,,$E105)), 0)),0)</f>
        <v>0</v>
      </c>
      <c r="CA105" s="150">
        <f>IF($C105&gt;0,(IF($BY$7&gt;=$C105+1, (-FV(InflationRate,$BY$7,,$F105)), 0)),0)</f>
        <v>0</v>
      </c>
      <c r="CB105" s="176">
        <f>IF($C105&gt;0,(IF($BY$7&gt;=$C105+1, (-FV(InflationRate,$BY$7,,$G105)), 0)),0)</f>
        <v>0</v>
      </c>
      <c r="CC105" s="168">
        <f>IF($C105&gt;0,(IF($C105=$CC$7,(-FV(InflationRate,$CC$7,,$D105)),0)),0)</f>
        <v>0</v>
      </c>
      <c r="CD105" s="149">
        <f>IF($C105&gt;0,(IF($CC$7&gt;=$C105+1, (-FV(InflationRate,$CC$7,,$E105)), 0)),0)</f>
        <v>0</v>
      </c>
      <c r="CE105" s="149">
        <f>IF($C105&gt;0,(IF($CC$7&gt;=$C105+1, (-FV(InflationRate,$CC$7,,$F105)), 0)),0)</f>
        <v>0</v>
      </c>
      <c r="CF105" s="157">
        <f>IF($C105&gt;0,(IF($CC$7&gt;=$C105+1, (-FV(InflationRate,$CC$7,,$G105)), 0)),0)</f>
        <v>0</v>
      </c>
      <c r="CG105" s="160">
        <f>IF($C105&gt;0,(IF($C105=$CG$7,(-FV(InflationRate,$CG$7,,$D105)),0)),0)</f>
        <v>0</v>
      </c>
      <c r="CH105" s="150">
        <f>IF($C105&gt;0,(IF($CG$7&gt;=$C105+1, (-FV(InflationRate,$CG$7,,$E105)), 0)),0)</f>
        <v>0</v>
      </c>
      <c r="CI105" s="150">
        <f>IF($C105&gt;0,(IF($CG$7&gt;=$C105+1, (-FV(InflationRate,$CG$7,,$F105)), 0)),0)</f>
        <v>0</v>
      </c>
      <c r="CJ105" s="176">
        <f>IF($C105&gt;0,(IF($CG$7&gt;=$C105+1, (-FV(InflationRate,$CG$7,,$G105)), 0)),0)</f>
        <v>0</v>
      </c>
      <c r="CK105" s="168">
        <f>IF($C105&gt;0,(IF($C105=$CK$7,(-FV(InflationRate,$CK$7,,$D105)),0)),0)</f>
        <v>0</v>
      </c>
      <c r="CL105" s="149">
        <f>IF($C105&gt;0,(IF($CK$7&gt;=$C105+1, (-FV(InflationRate,$CK$7,,$E105)), 0)),0)</f>
        <v>0</v>
      </c>
      <c r="CM105" s="149">
        <f>IF($C105&gt;0,(IF($CK$7&gt;=$C105+1, (-FV(InflationRate,$CK$7,,$F105)), 0)),0)</f>
        <v>0</v>
      </c>
      <c r="CN105" s="157">
        <f>IF($C105&gt;0,(IF($CK$7&gt;=$C105+1, (-FV(InflationRate,$CK$7,,$G105)), 0)),0)</f>
        <v>0</v>
      </c>
      <c r="CO105" s="160">
        <f>IF($C105&gt;0,(IF($C105=$CO$7,(-FV(InflationRate,$CO$7,,$D105)),0)),0)</f>
        <v>0</v>
      </c>
      <c r="CP105" s="150">
        <f>IF($C105&gt;0,(IF($CO$7&gt;=$C105+1, (-FV(InflationRate,$CO$7,,$E105)), 0)),0)</f>
        <v>0</v>
      </c>
      <c r="CQ105" s="150">
        <f>IF($C105&gt;0,(IF($CO$7&gt;=$C105+1, (-FV(InflationRate,$CO$7,,$F105)), 0)),0)</f>
        <v>0</v>
      </c>
      <c r="CR105" s="176">
        <f>IF($C105&gt;0,(IF($CO$7&gt;=$C105+1, (-FV(InflationRate,$CO$7,,$G105)), 0)),0)</f>
        <v>0</v>
      </c>
      <c r="CS105" s="168">
        <f>IF($C105&gt;0,(IF($C105=$CS$7,(-FV(InflationRate,$CS$7,,$D105)),0)),0)</f>
        <v>0</v>
      </c>
      <c r="CT105" s="149">
        <f>IF($C105&gt;0,(IF($CS$7&gt;=$C105+1, (-FV(InflationRate,$CS$7,,$E105)), 0)),0)</f>
        <v>0</v>
      </c>
      <c r="CU105" s="149">
        <f>IF($C105&gt;0,(IF($CS$7&gt;=$C105+1, (-FV(InflationRate,$CS$7,,$F105)), 0)),0)</f>
        <v>0</v>
      </c>
      <c r="CV105" s="157">
        <f>IF($C105&gt;0,(IF($CS$7&gt;=$C105+1, (-FV(InflationRate,$CS$7,,$G105)), 0)),0)</f>
        <v>0</v>
      </c>
      <c r="CW105" s="160">
        <f>IF($C105&gt;0,(IF($C105=$CW$7,(-FV(InflationRate,$CW$7,,$D105)),0)),0)</f>
        <v>0</v>
      </c>
      <c r="CX105" s="150">
        <f>IF($C105&gt;0,(IF($CW$7&gt;=$C105+1, (-FV(InflationRate,$CW$7,,$E105)), 0)),0)</f>
        <v>0</v>
      </c>
      <c r="CY105" s="150">
        <f>IF($C105&gt;0,(IF($CW$7&gt;=$C105+1, (-FV(InflationRate,$CW$7,,$F105)), 0)),0)</f>
        <v>0</v>
      </c>
      <c r="CZ105" s="176">
        <f>IF($C105&gt;0,(IF($CW$7&gt;=$C105+1, (-FV(InflationRate,$CW$7,,$G105)), 0)),0)</f>
        <v>0</v>
      </c>
      <c r="DA105" s="168">
        <f>IF($C105&gt;0,(IF($C105=$DA$7,(-FV(InflationRate,$DA$7,,$D105)),0)),0)</f>
        <v>0</v>
      </c>
      <c r="DB105" s="149">
        <f>IF($C105&gt;0,(IF($DA$7&gt;=$C105+1, (-FV(InflationRate,$DA$7,,$E105)), 0)),0)</f>
        <v>0</v>
      </c>
      <c r="DC105" s="149">
        <f>IF($C105&gt;0,(IF($DA$7&gt;=$C105+1, (-FV(InflationRate,$DA$7,,$F105)), 0)),0)</f>
        <v>0</v>
      </c>
      <c r="DD105" s="157">
        <f>IF($C105&gt;0,(IF($DA$7&gt;=$C105+1, (-FV(InflationRate,$DA$7,,$G105)), 0)),0)</f>
        <v>0</v>
      </c>
    </row>
    <row r="106" spans="2:108" ht="12.75" customHeight="1" x14ac:dyDescent="0.2">
      <c r="B106" s="183" t="s">
        <v>270</v>
      </c>
      <c r="C106" s="556"/>
      <c r="D106" s="557">
        <v>0</v>
      </c>
      <c r="E106" s="558">
        <v>0</v>
      </c>
      <c r="F106" s="149"/>
      <c r="G106" s="558">
        <v>0</v>
      </c>
      <c r="H106" s="168">
        <f>SUM(I106:AB106)</f>
        <v>0</v>
      </c>
      <c r="I106" s="610">
        <f>-PV(InterestRate,I$8,,(SUM(AC106:AF106)))</f>
        <v>0</v>
      </c>
      <c r="J106" s="610">
        <f>-PV(InterestRate,J$8,,(SUM(AG106:AJ106)))</f>
        <v>0</v>
      </c>
      <c r="K106" s="610">
        <f>-PV(InterestRate,K$8,,(SUM(AK106:AN106)))</f>
        <v>0</v>
      </c>
      <c r="L106" s="610">
        <f>-PV(InterestRate,L$8,,(SUM(AO106:AR106)))</f>
        <v>0</v>
      </c>
      <c r="M106" s="610">
        <f>-PV(InterestRate,M$8,,(SUM(AS106:AV106)))</f>
        <v>0</v>
      </c>
      <c r="N106" s="610">
        <f>-PV(InterestRate,N$8,,(SUM(AW106:AZ106)))</f>
        <v>0</v>
      </c>
      <c r="O106" s="610">
        <f>-PV(InterestRate,O$8,,(SUM(BA106:BD106)))</f>
        <v>0</v>
      </c>
      <c r="P106" s="610">
        <f>-PV(InterestRate,P$8,,(SUM(BE106:BH106)))</f>
        <v>0</v>
      </c>
      <c r="Q106" s="610">
        <f>-PV(InterestRate,Q$8,,(SUM(BI106:BL106)))</f>
        <v>0</v>
      </c>
      <c r="R106" s="610">
        <f>-PV(InterestRate,R$8,,(SUM(BM106:BP106)))</f>
        <v>0</v>
      </c>
      <c r="S106" s="610">
        <f>-PV(InterestRate,S$8,,(SUM(BQ106:BT106)))</f>
        <v>0</v>
      </c>
      <c r="T106" s="610">
        <f>-PV(InterestRate,T$8,,(SUM(BU106:BX106)))</f>
        <v>0</v>
      </c>
      <c r="U106" s="610">
        <f>-PV(InterestRate,U$8,,(SUM(BY106:CB106)))</f>
        <v>0</v>
      </c>
      <c r="V106" s="610">
        <f>-PV(InterestRate,V$8,,(SUM(CC106:CF106)))</f>
        <v>0</v>
      </c>
      <c r="W106" s="610">
        <f>-PV(InterestRate,W$8,,(SUM(CG106:CJ106)))</f>
        <v>0</v>
      </c>
      <c r="X106" s="610">
        <f>-PV(InterestRate,X$8,,(SUM(CK106:CN106)))</f>
        <v>0</v>
      </c>
      <c r="Y106" s="610">
        <f>-PV(InterestRate,Y$8,,(SUM(CO106:CR106)))</f>
        <v>0</v>
      </c>
      <c r="Z106" s="610">
        <f>-PV(InterestRate,Z$8,,(SUM(CS106:CV106)))</f>
        <v>0</v>
      </c>
      <c r="AA106" s="610">
        <f>-PV(InterestRate,AA$8,,(SUM(CW106:CZ106)))</f>
        <v>0</v>
      </c>
      <c r="AB106" s="611">
        <f>-PV(InterestRate,AB$8,,(SUM(DA106:DD106)))</f>
        <v>0</v>
      </c>
      <c r="AC106" s="160">
        <f>IF($C106&gt;0,(IF($C106=$AC$7,$D106,0)),0)</f>
        <v>0</v>
      </c>
      <c r="AD106" s="150">
        <f>IF($C106&gt;0,(IF($AC$7&gt;=$C106+1,$E106,0)),0)</f>
        <v>0</v>
      </c>
      <c r="AE106" s="150">
        <f>IF($C106&gt;0,(IF($C106=$AC$7,$F106,0)),0)</f>
        <v>0</v>
      </c>
      <c r="AF106" s="165">
        <f>IF($C106&gt;0,(IF($AC$7&gt;=$C106+1,$G106,0)),0)</f>
        <v>0</v>
      </c>
      <c r="AG106" s="168">
        <f>IF($C106&gt;0,(IF($C106=$AG$7,(-FV(InflationRate,$AG$7,,$D106)),0)),0)</f>
        <v>0</v>
      </c>
      <c r="AH106" s="149">
        <f>IF($C106&gt;0,(IF($AG$7&gt;=$C106+1, (-FV(InflationRate,$AG$7,,$E106)), 0)),0)</f>
        <v>0</v>
      </c>
      <c r="AI106" s="149">
        <f>IF($C106&gt;0,(IF($AG$7&gt;=$C106+1, (-FV(InflationRate,$AG$7,,$F106)), 0)),0)</f>
        <v>0</v>
      </c>
      <c r="AJ106" s="171">
        <f>IF($C106&gt;0,(IF($AG$7&gt;=$C106+1, (-FV(InflationRate,$AG$7,,$G106)), 0)),0)</f>
        <v>0</v>
      </c>
      <c r="AK106" s="160">
        <f>IF($C106&gt;0,(IF($C106=$AK$7,(-FV(InflationRate,$AK$7,,$D106)),0)),0)</f>
        <v>0</v>
      </c>
      <c r="AL106" s="150">
        <f>IF($C106&gt;0,(IF($AK$7&gt;=$C106+1, (-FV(InflationRate,$AK$7,,$E106)), 0)),0)</f>
        <v>0</v>
      </c>
      <c r="AM106" s="150">
        <f>IF($C106&gt;0,(IF($AK$7&gt;=$C106+1, (-FV(InflationRate,$AK$7,,$F106)), 0)),0)</f>
        <v>0</v>
      </c>
      <c r="AN106" s="165">
        <f>IF($C106&gt;0,(IF($AK$7&gt;=$C106+1, (-FV(InflationRate,$AK$7,,$G106)), 0)),0)</f>
        <v>0</v>
      </c>
      <c r="AO106" s="168">
        <f>IF($C106&gt;0,(IF($C106=$AO$7,(-FV(InflationRate,$AO$7,,$D106)),0)),0)</f>
        <v>0</v>
      </c>
      <c r="AP106" s="149">
        <f>IF($C106&gt;0,(IF($AO$7&gt;=$C106+1, (-FV(InflationRate,$AO$7,,$E106)), 0)),0)</f>
        <v>0</v>
      </c>
      <c r="AQ106" s="149">
        <f>IF($C106&gt;0,(IF($AO$7&gt;=$C106+1, (-FV(InflationRate,$AO$7,,$F106)), 0)),0)</f>
        <v>0</v>
      </c>
      <c r="AR106" s="157">
        <f>IF($C106&gt;0,(IF($AO$7&gt;=$C106+1, (-FV(InflationRate,$AO$7,,$G106)), 0)),0)</f>
        <v>0</v>
      </c>
      <c r="AS106" s="160">
        <f>IF($C106&gt;0,(IF($C106=$AS$7,(-FV(InflationRate,$AS$7,,$D106)),0)),0)</f>
        <v>0</v>
      </c>
      <c r="AT106" s="150">
        <f>IF($C106&gt;0,(IF($AS$7&gt;=$C106+1, (-FV(InflationRate,$AS$7,,$E106)), 0)),0)</f>
        <v>0</v>
      </c>
      <c r="AU106" s="150">
        <f>IF($C106&gt;0,(IF($AS$7&gt;=$C106+1, (-FV(InflationRate,$AS$7,,$F106)), 0)),0)</f>
        <v>0</v>
      </c>
      <c r="AV106" s="165">
        <f>IF($C106&gt;0,(IF($AS$7&gt;=$C106+1, (-FV(InflationRate,$AS$7,,$G106)), 0)),0)</f>
        <v>0</v>
      </c>
      <c r="AW106" s="168">
        <f>IF($C106&gt;0,(IF($C106=$AW$7,(-FV(InflationRate,$AW$7,,$D106)),0)),0)</f>
        <v>0</v>
      </c>
      <c r="AX106" s="149">
        <f>IF($C106&gt;0,(IF($AW$7&gt;=$C106+1, (-FV(InflationRate,$AW$7,,$E106)), 0)),0)</f>
        <v>0</v>
      </c>
      <c r="AY106" s="149">
        <f>IF($C106&gt;0,(IF($AW$7&gt;=$C106+1, (-FV(InflationRate,$AW$7,,$F106)), 0)),0)</f>
        <v>0</v>
      </c>
      <c r="AZ106" s="157">
        <f>IF($C106&gt;0,(IF($AW$7&gt;=$C106+1, (-FV(InflationRate,$AW$7,,$G106)), 0)),0)</f>
        <v>0</v>
      </c>
      <c r="BA106" s="160">
        <f>IF($C106&gt;0,(IF($C106=$BA$7,(-FV(InflationRate,$BA$7,,$D106)),0)),0)</f>
        <v>0</v>
      </c>
      <c r="BB106" s="150">
        <f>IF($C106&gt;0,(IF($BA$7&gt;=$C106+1, (-FV(InflationRate,$BA$7,,$E106)), 0)),0)</f>
        <v>0</v>
      </c>
      <c r="BC106" s="150">
        <f>IF($C106&gt;0,(IF($BA$7&gt;=$C106+1, (-FV(InflationRate,$BA$7,,$F106)), 0)),0)</f>
        <v>0</v>
      </c>
      <c r="BD106" s="176">
        <f>IF($C106&gt;0,(IF($BA$7&gt;=$C106+1, (-FV(InflationRate,$BA$7,,$G106)), 0)),0)</f>
        <v>0</v>
      </c>
      <c r="BE106" s="168">
        <f>IF($C106&gt;0,(IF($C106=$BE$7,(-FV(InflationRate,$BE$7,,$D106)),0)),0)</f>
        <v>0</v>
      </c>
      <c r="BF106" s="149">
        <f>IF($C106&gt;0,(IF($BE$7&gt;=$C106+1, (-FV(InflationRate,$BE$7,,$E106)), 0)),0)</f>
        <v>0</v>
      </c>
      <c r="BG106" s="149">
        <f>IF($C106&gt;0,(IF($BE$7&gt;=$C106+1, (-FV(InflationRate,$BE$7,,$F106)), 0)),0)</f>
        <v>0</v>
      </c>
      <c r="BH106" s="171">
        <f>IF($C106&gt;0,(IF($BE$7&gt;=$C106+1, (-FV(InflationRate,$BE$7,,$G106)), 0)),0)</f>
        <v>0</v>
      </c>
      <c r="BI106" s="160">
        <f>IF($C106&gt;0,(IF($C106=$BI$7,(-FV(InflationRate,$BI$7,,$D106)),0)),0)</f>
        <v>0</v>
      </c>
      <c r="BJ106" s="150">
        <f>IF($C106&gt;0,(IF($BI$7&gt;=$C106+1, (-FV(InflationRate,$BI$7,,$E106)), 0)),0)</f>
        <v>0</v>
      </c>
      <c r="BK106" s="150">
        <f>IF($C106&gt;0,(IF($BI$7&gt;=$C106+1, (-FV(InflationRate,$BI$7,,$F106)), 0)),0)</f>
        <v>0</v>
      </c>
      <c r="BL106" s="176">
        <f>IF($C106&gt;0,(IF($BI$7&gt;=$C106+1, (-FV(InflationRate,$BI$7,,$G106)), 0)),0)</f>
        <v>0</v>
      </c>
      <c r="BM106" s="168">
        <f>IF($C106&gt;0,(IF($C106=$BM$7,(-FV(InflationRate,$BM$7,,$D106)),0)),0)</f>
        <v>0</v>
      </c>
      <c r="BN106" s="149">
        <f>IF($C106&gt;0,(IF($BM$7&gt;=$C106+1, (-FV(InflationRate,$BM$7,,$E106)), 0)),0)</f>
        <v>0</v>
      </c>
      <c r="BO106" s="149">
        <f>IF($C106&gt;0,(IF($BM$7&gt;=$C106+1, (-FV(InflationRate,$BM$7,,$F106)), 0)),0)</f>
        <v>0</v>
      </c>
      <c r="BP106" s="157">
        <f>IF($C106&gt;0,(IF($BM$7&gt;=$C106+1, (-FV(InflationRate,$BM$7,,$G106)), 0)),0)</f>
        <v>0</v>
      </c>
      <c r="BQ106" s="160">
        <f>IF($C106&gt;0,(IF($C106=$BQ$7,(-FV(InflationRate,$BQ$7,,$D106)),0)),0)</f>
        <v>0</v>
      </c>
      <c r="BR106" s="150">
        <f>IF($C106&gt;0,(IF($BQ$7&gt;=$C106+1, (-FV(InflationRate,$BQ$7,,$E106)), 0)),0)</f>
        <v>0</v>
      </c>
      <c r="BS106" s="150">
        <f>IF($C106&gt;0,(IF($BQ$7&gt;=$C106+1, (-FV(InflationRate,$BQ$7,,$F106)), 0)),0)</f>
        <v>0</v>
      </c>
      <c r="BT106" s="176">
        <f>IF($C106&gt;0,(IF($BQ$7&gt;=$C106+1, (-FV(InflationRate,$BQ$7,,$G106)), 0)),0)</f>
        <v>0</v>
      </c>
      <c r="BU106" s="168">
        <f>IF($C106&gt;0,(IF($C106=$BU$7,(-FV(InflationRate,$BU$7,,$D106)),0)),0)</f>
        <v>0</v>
      </c>
      <c r="BV106" s="149">
        <f>IF($C106&gt;0,(IF($BU$7&gt;=$C106+1, (-FV(InflationRate,$BU$7,,$E106)), 0)),0)</f>
        <v>0</v>
      </c>
      <c r="BW106" s="149">
        <f>IF($C106&gt;0,(IF($BU$7&gt;=$C106+1, (-FV(InflationRate,$BU$7,,$F106)), 0)),0)</f>
        <v>0</v>
      </c>
      <c r="BX106" s="157">
        <f>IF($C106&gt;0,(IF($BU$7&gt;=$C106+1, (-FV(InflationRate,$BU$7,,$G106)), 0)),0)</f>
        <v>0</v>
      </c>
      <c r="BY106" s="160">
        <f>IF($C106&gt;0,(IF($C106=$BY$7,(-FV(InflationRate,$BY$7,,$D106)),0)),0)</f>
        <v>0</v>
      </c>
      <c r="BZ106" s="150">
        <f>IF($C106&gt;0,(IF($BY$7&gt;=$C106+1, (-FV(InflationRate,$BY$7,,$E106)), 0)),0)</f>
        <v>0</v>
      </c>
      <c r="CA106" s="150">
        <f>IF($C106&gt;0,(IF($BY$7&gt;=$C106+1, (-FV(InflationRate,$BY$7,,$F106)), 0)),0)</f>
        <v>0</v>
      </c>
      <c r="CB106" s="176">
        <f>IF($C106&gt;0,(IF($BY$7&gt;=$C106+1, (-FV(InflationRate,$BY$7,,$G106)), 0)),0)</f>
        <v>0</v>
      </c>
      <c r="CC106" s="168">
        <f>IF($C106&gt;0,(IF($C106=$CC$7,(-FV(InflationRate,$CC$7,,$D106)),0)),0)</f>
        <v>0</v>
      </c>
      <c r="CD106" s="149">
        <f>IF($C106&gt;0,(IF($CC$7&gt;=$C106+1, (-FV(InflationRate,$CC$7,,$E106)), 0)),0)</f>
        <v>0</v>
      </c>
      <c r="CE106" s="149">
        <f>IF($C106&gt;0,(IF($CC$7&gt;=$C106+1, (-FV(InflationRate,$CC$7,,$F106)), 0)),0)</f>
        <v>0</v>
      </c>
      <c r="CF106" s="157">
        <f>IF($C106&gt;0,(IF($CC$7&gt;=$C106+1, (-FV(InflationRate,$CC$7,,$G106)), 0)),0)</f>
        <v>0</v>
      </c>
      <c r="CG106" s="160">
        <f>IF($C106&gt;0,(IF($C106=$CG$7,(-FV(InflationRate,$CG$7,,$D106)),0)),0)</f>
        <v>0</v>
      </c>
      <c r="CH106" s="150">
        <f>IF($C106&gt;0,(IF($CG$7&gt;=$C106+1, (-FV(InflationRate,$CG$7,,$E106)), 0)),0)</f>
        <v>0</v>
      </c>
      <c r="CI106" s="150">
        <f>IF($C106&gt;0,(IF($CG$7&gt;=$C106+1, (-FV(InflationRate,$CG$7,,$F106)), 0)),0)</f>
        <v>0</v>
      </c>
      <c r="CJ106" s="176">
        <f>IF($C106&gt;0,(IF($CG$7&gt;=$C106+1, (-FV(InflationRate,$CG$7,,$G106)), 0)),0)</f>
        <v>0</v>
      </c>
      <c r="CK106" s="168">
        <f>IF($C106&gt;0,(IF($C106=$CK$7,(-FV(InflationRate,$CK$7,,$D106)),0)),0)</f>
        <v>0</v>
      </c>
      <c r="CL106" s="149">
        <f>IF($C106&gt;0,(IF($CK$7&gt;=$C106+1, (-FV(InflationRate,$CK$7,,$E106)), 0)),0)</f>
        <v>0</v>
      </c>
      <c r="CM106" s="149">
        <f>IF($C106&gt;0,(IF($CK$7&gt;=$C106+1, (-FV(InflationRate,$CK$7,,$F106)), 0)),0)</f>
        <v>0</v>
      </c>
      <c r="CN106" s="157">
        <f>IF($C106&gt;0,(IF($CK$7&gt;=$C106+1, (-FV(InflationRate,$CK$7,,$G106)), 0)),0)</f>
        <v>0</v>
      </c>
      <c r="CO106" s="160">
        <f>IF($C106&gt;0,(IF($C106=$CO$7,(-FV(InflationRate,$CO$7,,$D106)),0)),0)</f>
        <v>0</v>
      </c>
      <c r="CP106" s="150">
        <f>IF($C106&gt;0,(IF($CO$7&gt;=$C106+1, (-FV(InflationRate,$CO$7,,$E106)), 0)),0)</f>
        <v>0</v>
      </c>
      <c r="CQ106" s="150">
        <f>IF($C106&gt;0,(IF($CO$7&gt;=$C106+1, (-FV(InflationRate,$CO$7,,$F106)), 0)),0)</f>
        <v>0</v>
      </c>
      <c r="CR106" s="176">
        <f>IF($C106&gt;0,(IF($CO$7&gt;=$C106+1, (-FV(InflationRate,$CO$7,,$G106)), 0)),0)</f>
        <v>0</v>
      </c>
      <c r="CS106" s="168">
        <f>IF($C106&gt;0,(IF($C106=$CS$7,(-FV(InflationRate,$CS$7,,$D106)),0)),0)</f>
        <v>0</v>
      </c>
      <c r="CT106" s="149">
        <f>IF($C106&gt;0,(IF($CS$7&gt;=$C106+1, (-FV(InflationRate,$CS$7,,$E106)), 0)),0)</f>
        <v>0</v>
      </c>
      <c r="CU106" s="149">
        <f>IF($C106&gt;0,(IF($CS$7&gt;=$C106+1, (-FV(InflationRate,$CS$7,,$F106)), 0)),0)</f>
        <v>0</v>
      </c>
      <c r="CV106" s="157">
        <f>IF($C106&gt;0,(IF($CS$7&gt;=$C106+1, (-FV(InflationRate,$CS$7,,$G106)), 0)),0)</f>
        <v>0</v>
      </c>
      <c r="CW106" s="160">
        <f>IF($C106&gt;0,(IF($C106=$CW$7,(-FV(InflationRate,$CW$7,,$D106)),0)),0)</f>
        <v>0</v>
      </c>
      <c r="CX106" s="150">
        <f>IF($C106&gt;0,(IF($CW$7&gt;=$C106+1, (-FV(InflationRate,$CW$7,,$E106)), 0)),0)</f>
        <v>0</v>
      </c>
      <c r="CY106" s="150">
        <f>IF($C106&gt;0,(IF($CW$7&gt;=$C106+1, (-FV(InflationRate,$CW$7,,$F106)), 0)),0)</f>
        <v>0</v>
      </c>
      <c r="CZ106" s="176">
        <f>IF($C106&gt;0,(IF($CW$7&gt;=$C106+1, (-FV(InflationRate,$CW$7,,$G106)), 0)),0)</f>
        <v>0</v>
      </c>
      <c r="DA106" s="168">
        <f>IF($C106&gt;0,(IF($C106=$DA$7,(-FV(InflationRate,$DA$7,,$D106)),0)),0)</f>
        <v>0</v>
      </c>
      <c r="DB106" s="149">
        <f>IF($C106&gt;0,(IF($DA$7&gt;=$C106+1, (-FV(InflationRate,$DA$7,,$E106)), 0)),0)</f>
        <v>0</v>
      </c>
      <c r="DC106" s="149">
        <f>IF($C106&gt;0,(IF($DA$7&gt;=$C106+1, (-FV(InflationRate,$DA$7,,$F106)), 0)),0)</f>
        <v>0</v>
      </c>
      <c r="DD106" s="157">
        <f>IF($C106&gt;0,(IF($DA$7&gt;=$C106+1, (-FV(InflationRate,$DA$7,,$G106)), 0)),0)</f>
        <v>0</v>
      </c>
    </row>
    <row r="107" spans="2:108" ht="12.75" customHeight="1" x14ac:dyDescent="0.2">
      <c r="B107" s="183" t="s">
        <v>203</v>
      </c>
      <c r="C107" s="556"/>
      <c r="D107" s="168"/>
      <c r="E107" s="149"/>
      <c r="F107" s="558">
        <v>0</v>
      </c>
      <c r="G107" s="149"/>
      <c r="H107" s="168">
        <f>SUM(I107:AB107)</f>
        <v>0</v>
      </c>
      <c r="I107" s="610">
        <f>-PV(InterestRate,I$8,,(SUM(AC107:AF107)))</f>
        <v>0</v>
      </c>
      <c r="J107" s="610">
        <f>-PV(InterestRate,J$8,,(SUM(AG107:AJ107)))</f>
        <v>0</v>
      </c>
      <c r="K107" s="610">
        <f>-PV(InterestRate,K$8,,(SUM(AK107:AN107)))</f>
        <v>0</v>
      </c>
      <c r="L107" s="610">
        <f>-PV(InterestRate,L$8,,(SUM(AO107:AR107)))</f>
        <v>0</v>
      </c>
      <c r="M107" s="610">
        <f>-PV(InterestRate,M$8,,(SUM(AS107:AV107)))</f>
        <v>0</v>
      </c>
      <c r="N107" s="610">
        <f>-PV(InterestRate,N$8,,(SUM(AW107:AZ107)))</f>
        <v>0</v>
      </c>
      <c r="O107" s="610">
        <f>-PV(InterestRate,O$8,,(SUM(BA107:BD107)))</f>
        <v>0</v>
      </c>
      <c r="P107" s="610">
        <f>-PV(InterestRate,P$8,,(SUM(BE107:BH107)))</f>
        <v>0</v>
      </c>
      <c r="Q107" s="610">
        <f>-PV(InterestRate,Q$8,,(SUM(BI107:BL107)))</f>
        <v>0</v>
      </c>
      <c r="R107" s="610">
        <f>-PV(InterestRate,R$8,,(SUM(BM107:BP107)))</f>
        <v>0</v>
      </c>
      <c r="S107" s="610">
        <f>-PV(InterestRate,S$8,,(SUM(BQ107:BT107)))</f>
        <v>0</v>
      </c>
      <c r="T107" s="610">
        <f>-PV(InterestRate,T$8,,(SUM(BU107:BX107)))</f>
        <v>0</v>
      </c>
      <c r="U107" s="610">
        <f>-PV(InterestRate,U$8,,(SUM(BY107:CB107)))</f>
        <v>0</v>
      </c>
      <c r="V107" s="610">
        <f>-PV(InterestRate,V$8,,(SUM(CC107:CF107)))</f>
        <v>0</v>
      </c>
      <c r="W107" s="610">
        <f>-PV(InterestRate,W$8,,(SUM(CG107:CJ107)))</f>
        <v>0</v>
      </c>
      <c r="X107" s="610">
        <f>-PV(InterestRate,X$8,,(SUM(CK107:CN107)))</f>
        <v>0</v>
      </c>
      <c r="Y107" s="610">
        <f>-PV(InterestRate,Y$8,,(SUM(CO107:CR107)))</f>
        <v>0</v>
      </c>
      <c r="Z107" s="610">
        <f>-PV(InterestRate,Z$8,,(SUM(CS107:CV107)))</f>
        <v>0</v>
      </c>
      <c r="AA107" s="610">
        <f>-PV(InterestRate,AA$8,,(SUM(CW107:CZ107)))</f>
        <v>0</v>
      </c>
      <c r="AB107" s="611">
        <f>-PV(InterestRate,AB$8,,(SUM(DA107:DD107)))</f>
        <v>0</v>
      </c>
      <c r="AC107" s="160">
        <f>IF($C107&gt;0,(IF($C107=$AC$7,$D107,0)),0)</f>
        <v>0</v>
      </c>
      <c r="AD107" s="150">
        <f>IF($C107&gt;0,(IF($AC$7&gt;=$C107+1,$E107,0)),0)</f>
        <v>0</v>
      </c>
      <c r="AE107" s="150">
        <f>IF($C107&gt;0,(IF($C107=$AC$7,$F107,0)),0)</f>
        <v>0</v>
      </c>
      <c r="AF107" s="165">
        <f>IF($C107&gt;0,(IF($AC$7&gt;=$C107+1,$G107,0)),0)</f>
        <v>0</v>
      </c>
      <c r="AG107" s="168">
        <f>IF($C107&gt;0,(IF($C107=$AG$7,(-FV(InflationRate,$AG$7,,$D107)),0)),0)</f>
        <v>0</v>
      </c>
      <c r="AH107" s="149">
        <f>IF($C107&gt;0,(IF($AG$7&gt;=$C107+1, (-FV(InflationRate,$AG$7,,$E107)), 0)),0)</f>
        <v>0</v>
      </c>
      <c r="AI107" s="149">
        <f>IF($C107&gt;0,(IF($AG$7&gt;=$C107+1, (-FV(InflationRate,$AG$7,,$F107)), 0)),0)</f>
        <v>0</v>
      </c>
      <c r="AJ107" s="171">
        <f>IF($C107&gt;0,(IF($AG$7&gt;=$C107+1, (-FV(InflationRate,$AG$7,,$G107)), 0)),0)</f>
        <v>0</v>
      </c>
      <c r="AK107" s="160">
        <f>IF($C107&gt;0,(IF($C107=$AK$7,(-FV(InflationRate,$AK$7,,$D107)),0)),0)</f>
        <v>0</v>
      </c>
      <c r="AL107" s="150">
        <f>IF($C107&gt;0,(IF($AK$7&gt;=$C107+1, (-FV(InflationRate,$AK$7,,$E107)), 0)),0)</f>
        <v>0</v>
      </c>
      <c r="AM107" s="150">
        <f>IF($C107&gt;0,(IF($AK$7&gt;=$C107+1, (-FV(InflationRate,$AK$7,,$F107)), 0)),0)</f>
        <v>0</v>
      </c>
      <c r="AN107" s="165">
        <f>IF($C107&gt;0,(IF($AK$7&gt;=$C107+1, (-FV(InflationRate,$AK$7,,$G107)), 0)),0)</f>
        <v>0</v>
      </c>
      <c r="AO107" s="168">
        <f>IF($C107&gt;0,(IF($C107=$AO$7,(-FV(InflationRate,$AO$7,,$D107)),0)),0)</f>
        <v>0</v>
      </c>
      <c r="AP107" s="149">
        <f>IF($C107&gt;0,(IF($AO$7&gt;=$C107+1, (-FV(InflationRate,$AO$7,,$E107)), 0)),0)</f>
        <v>0</v>
      </c>
      <c r="AQ107" s="149">
        <f>IF($C107&gt;0,(IF($AO$7&gt;=$C107+1, (-FV(InflationRate,$AO$7,,$F107)), 0)),0)</f>
        <v>0</v>
      </c>
      <c r="AR107" s="157">
        <f>IF($C107&gt;0,(IF($AO$7&gt;=$C107+1, (-FV(InflationRate,$AO$7,,$G107)), 0)),0)</f>
        <v>0</v>
      </c>
      <c r="AS107" s="160">
        <f>IF($C107&gt;0,(IF($C107=$AS$7,(-FV(InflationRate,$AS$7,,$D107)),0)),0)</f>
        <v>0</v>
      </c>
      <c r="AT107" s="150">
        <f>IF($C107&gt;0,(IF($AS$7&gt;=$C107+1, (-FV(InflationRate,$AS$7,,$E107)), 0)),0)</f>
        <v>0</v>
      </c>
      <c r="AU107" s="150">
        <f>IF($C107&gt;0,(IF($AS$7&gt;=$C107+1, (-FV(InflationRate,$AS$7,,$F107)), 0)),0)</f>
        <v>0</v>
      </c>
      <c r="AV107" s="165">
        <f>IF($C107&gt;0,(IF($AS$7&gt;=$C107+1, (-FV(InflationRate,$AS$7,,$G107)), 0)),0)</f>
        <v>0</v>
      </c>
      <c r="AW107" s="168">
        <f>IF($C107&gt;0,(IF($C107=$AW$7,(-FV(InflationRate,$AW$7,,$D107)),0)),0)</f>
        <v>0</v>
      </c>
      <c r="AX107" s="149">
        <f>IF($C107&gt;0,(IF($AW$7&gt;=$C107+1, (-FV(InflationRate,$AW$7,,$E107)), 0)),0)</f>
        <v>0</v>
      </c>
      <c r="AY107" s="149">
        <f>IF($C107&gt;0,(IF($AW$7&gt;=$C107+1, (-FV(InflationRate,$AW$7,,$F107)), 0)),0)</f>
        <v>0</v>
      </c>
      <c r="AZ107" s="157">
        <f>IF($C107&gt;0,(IF($AW$7&gt;=$C107+1, (-FV(InflationRate,$AW$7,,$G107)), 0)),0)</f>
        <v>0</v>
      </c>
      <c r="BA107" s="160">
        <f>IF($C107&gt;0,(IF($C107=$BA$7,(-FV(InflationRate,$BA$7,,$D107)),0)),0)</f>
        <v>0</v>
      </c>
      <c r="BB107" s="150">
        <f>IF($C107&gt;0,(IF($BA$7&gt;=$C107+1, (-FV(InflationRate,$BA$7,,$E107)), 0)),0)</f>
        <v>0</v>
      </c>
      <c r="BC107" s="150">
        <f>IF($C107&gt;0,(IF($BA$7&gt;=$C107+1, (-FV(InflationRate,$BA$7,,$F107)), 0)),0)</f>
        <v>0</v>
      </c>
      <c r="BD107" s="176">
        <f>IF($C107&gt;0,(IF($BA$7&gt;=$C107+1, (-FV(InflationRate,$BA$7,,$G107)), 0)),0)</f>
        <v>0</v>
      </c>
      <c r="BE107" s="168">
        <f>IF($C107&gt;0,(IF($C107=$BE$7,(-FV(InflationRate,$BE$7,,$D107)),0)),0)</f>
        <v>0</v>
      </c>
      <c r="BF107" s="149">
        <f>IF($C107&gt;0,(IF($BE$7&gt;=$C107+1, (-FV(InflationRate,$BE$7,,$E107)), 0)),0)</f>
        <v>0</v>
      </c>
      <c r="BG107" s="149">
        <f>IF($C107&gt;0,(IF($BE$7&gt;=$C107+1, (-FV(InflationRate,$BE$7,,$F107)), 0)),0)</f>
        <v>0</v>
      </c>
      <c r="BH107" s="171">
        <f>IF($C107&gt;0,(IF($BE$7&gt;=$C107+1, (-FV(InflationRate,$BE$7,,$G107)), 0)),0)</f>
        <v>0</v>
      </c>
      <c r="BI107" s="160">
        <f>IF($C107&gt;0,(IF($C107=$BI$7,(-FV(InflationRate,$BI$7,,$D107)),0)),0)</f>
        <v>0</v>
      </c>
      <c r="BJ107" s="150">
        <f>IF($C107&gt;0,(IF($BI$7&gt;=$C107+1, (-FV(InflationRate,$BI$7,,$E107)), 0)),0)</f>
        <v>0</v>
      </c>
      <c r="BK107" s="150">
        <f>IF($C107&gt;0,(IF($BI$7&gt;=$C107+1, (-FV(InflationRate,$BI$7,,$F107)), 0)),0)</f>
        <v>0</v>
      </c>
      <c r="BL107" s="176">
        <f>IF($C107&gt;0,(IF($BI$7&gt;=$C107+1, (-FV(InflationRate,$BI$7,,$G107)), 0)),0)</f>
        <v>0</v>
      </c>
      <c r="BM107" s="168">
        <f>IF($C107&gt;0,(IF($C107=$BM$7,(-FV(InflationRate,$BM$7,,$D107)),0)),0)</f>
        <v>0</v>
      </c>
      <c r="BN107" s="149">
        <f>IF($C107&gt;0,(IF($BM$7&gt;=$C107+1, (-FV(InflationRate,$BM$7,,$E107)), 0)),0)</f>
        <v>0</v>
      </c>
      <c r="BO107" s="149">
        <f>IF($C107&gt;0,(IF($BM$7&gt;=$C107+1, (-FV(InflationRate,$BM$7,,$F107)), 0)),0)</f>
        <v>0</v>
      </c>
      <c r="BP107" s="157">
        <f>IF($C107&gt;0,(IF($BM$7&gt;=$C107+1, (-FV(InflationRate,$BM$7,,$G107)), 0)),0)</f>
        <v>0</v>
      </c>
      <c r="BQ107" s="160">
        <f>IF($C107&gt;0,(IF($C107=$BQ$7,(-FV(InflationRate,$BQ$7,,$D107)),0)),0)</f>
        <v>0</v>
      </c>
      <c r="BR107" s="150">
        <f>IF($C107&gt;0,(IF($BQ$7&gt;=$C107+1, (-FV(InflationRate,$BQ$7,,$E107)), 0)),0)</f>
        <v>0</v>
      </c>
      <c r="BS107" s="150">
        <f>IF($C107&gt;0,(IF($BQ$7&gt;=$C107+1, (-FV(InflationRate,$BQ$7,,$F107)), 0)),0)</f>
        <v>0</v>
      </c>
      <c r="BT107" s="176">
        <f>IF($C107&gt;0,(IF($BQ$7&gt;=$C107+1, (-FV(InflationRate,$BQ$7,,$G107)), 0)),0)</f>
        <v>0</v>
      </c>
      <c r="BU107" s="168">
        <f>IF($C107&gt;0,(IF($C107=$BU$7,(-FV(InflationRate,$BU$7,,$D107)),0)),0)</f>
        <v>0</v>
      </c>
      <c r="BV107" s="149">
        <f>IF($C107&gt;0,(IF($BU$7&gt;=$C107+1, (-FV(InflationRate,$BU$7,,$E107)), 0)),0)</f>
        <v>0</v>
      </c>
      <c r="BW107" s="149">
        <f>IF($C107&gt;0,(IF($BU$7&gt;=$C107+1, (-FV(InflationRate,$BU$7,,$F107)), 0)),0)</f>
        <v>0</v>
      </c>
      <c r="BX107" s="157">
        <f>IF($C107&gt;0,(IF($BU$7&gt;=$C107+1, (-FV(InflationRate,$BU$7,,$G107)), 0)),0)</f>
        <v>0</v>
      </c>
      <c r="BY107" s="160">
        <f>IF($C107&gt;0,(IF($C107=$BY$7,(-FV(InflationRate,$BY$7,,$D107)),0)),0)</f>
        <v>0</v>
      </c>
      <c r="BZ107" s="150">
        <f>IF($C107&gt;0,(IF($BY$7&gt;=$C107+1, (-FV(InflationRate,$BY$7,,$E107)), 0)),0)</f>
        <v>0</v>
      </c>
      <c r="CA107" s="150">
        <f>IF($C107&gt;0,(IF($BY$7&gt;=$C107+1, (-FV(InflationRate,$BY$7,,$F107)), 0)),0)</f>
        <v>0</v>
      </c>
      <c r="CB107" s="176">
        <f>IF($C107&gt;0,(IF($BY$7&gt;=$C107+1, (-FV(InflationRate,$BY$7,,$G107)), 0)),0)</f>
        <v>0</v>
      </c>
      <c r="CC107" s="168">
        <f>IF($C107&gt;0,(IF($C107=$CC$7,(-FV(InflationRate,$CC$7,,$D107)),0)),0)</f>
        <v>0</v>
      </c>
      <c r="CD107" s="149">
        <f>IF($C107&gt;0,(IF($CC$7&gt;=$C107+1, (-FV(InflationRate,$CC$7,,$E107)), 0)),0)</f>
        <v>0</v>
      </c>
      <c r="CE107" s="149">
        <f>IF($C107&gt;0,(IF($CC$7&gt;=$C107+1, (-FV(InflationRate,$CC$7,,$F107)), 0)),0)</f>
        <v>0</v>
      </c>
      <c r="CF107" s="157">
        <f>IF($C107&gt;0,(IF($CC$7&gt;=$C107+1, (-FV(InflationRate,$CC$7,,$G107)), 0)),0)</f>
        <v>0</v>
      </c>
      <c r="CG107" s="160">
        <f>IF($C107&gt;0,(IF($C107=$CG$7,(-FV(InflationRate,$CG$7,,$D107)),0)),0)</f>
        <v>0</v>
      </c>
      <c r="CH107" s="150">
        <f>IF($C107&gt;0,(IF($CG$7&gt;=$C107+1, (-FV(InflationRate,$CG$7,,$E107)), 0)),0)</f>
        <v>0</v>
      </c>
      <c r="CI107" s="150">
        <f>IF($C107&gt;0,(IF($CG$7&gt;=$C107+1, (-FV(InflationRate,$CG$7,,$F107)), 0)),0)</f>
        <v>0</v>
      </c>
      <c r="CJ107" s="176">
        <f>IF($C107&gt;0,(IF($CG$7&gt;=$C107+1, (-FV(InflationRate,$CG$7,,$G107)), 0)),0)</f>
        <v>0</v>
      </c>
      <c r="CK107" s="168">
        <f>IF($C107&gt;0,(IF($C107=$CK$7,(-FV(InflationRate,$CK$7,,$D107)),0)),0)</f>
        <v>0</v>
      </c>
      <c r="CL107" s="149">
        <f>IF($C107&gt;0,(IF($CK$7&gt;=$C107+1, (-FV(InflationRate,$CK$7,,$E107)), 0)),0)</f>
        <v>0</v>
      </c>
      <c r="CM107" s="149">
        <f>IF($C107&gt;0,(IF($CK$7&gt;=$C107+1, (-FV(InflationRate,$CK$7,,$F107)), 0)),0)</f>
        <v>0</v>
      </c>
      <c r="CN107" s="157">
        <f>IF($C107&gt;0,(IF($CK$7&gt;=$C107+1, (-FV(InflationRate,$CK$7,,$G107)), 0)),0)</f>
        <v>0</v>
      </c>
      <c r="CO107" s="160">
        <f>IF($C107&gt;0,(IF($C107=$CO$7,(-FV(InflationRate,$CO$7,,$D107)),0)),0)</f>
        <v>0</v>
      </c>
      <c r="CP107" s="150">
        <f>IF($C107&gt;0,(IF($CO$7&gt;=$C107+1, (-FV(InflationRate,$CO$7,,$E107)), 0)),0)</f>
        <v>0</v>
      </c>
      <c r="CQ107" s="150">
        <f>IF($C107&gt;0,(IF($CO$7&gt;=$C107+1, (-FV(InflationRate,$CO$7,,$F107)), 0)),0)</f>
        <v>0</v>
      </c>
      <c r="CR107" s="176">
        <f>IF($C107&gt;0,(IF($CO$7&gt;=$C107+1, (-FV(InflationRate,$CO$7,,$G107)), 0)),0)</f>
        <v>0</v>
      </c>
      <c r="CS107" s="168">
        <f>IF($C107&gt;0,(IF($C107=$CS$7,(-FV(InflationRate,$CS$7,,$D107)),0)),0)</f>
        <v>0</v>
      </c>
      <c r="CT107" s="149">
        <f>IF($C107&gt;0,(IF($CS$7&gt;=$C107+1, (-FV(InflationRate,$CS$7,,$E107)), 0)),0)</f>
        <v>0</v>
      </c>
      <c r="CU107" s="149">
        <f>IF($C107&gt;0,(IF($CS$7&gt;=$C107+1, (-FV(InflationRate,$CS$7,,$F107)), 0)),0)</f>
        <v>0</v>
      </c>
      <c r="CV107" s="157">
        <f>IF($C107&gt;0,(IF($CS$7&gt;=$C107+1, (-FV(InflationRate,$CS$7,,$G107)), 0)),0)</f>
        <v>0</v>
      </c>
      <c r="CW107" s="160">
        <f>IF($C107&gt;0,(IF($C107=$CW$7,(-FV(InflationRate,$CW$7,,$D107)),0)),0)</f>
        <v>0</v>
      </c>
      <c r="CX107" s="150">
        <f>IF($C107&gt;0,(IF($CW$7&gt;=$C107+1, (-FV(InflationRate,$CW$7,,$E107)), 0)),0)</f>
        <v>0</v>
      </c>
      <c r="CY107" s="150">
        <f>IF($C107&gt;0,(IF($CW$7&gt;=$C107+1, (-FV(InflationRate,$CW$7,,$F107)), 0)),0)</f>
        <v>0</v>
      </c>
      <c r="CZ107" s="176">
        <f>IF($C107&gt;0,(IF($CW$7&gt;=$C107+1, (-FV(InflationRate,$CW$7,,$G107)), 0)),0)</f>
        <v>0</v>
      </c>
      <c r="DA107" s="168">
        <f>IF($C107&gt;0,(IF($C107=$DA$7,(-FV(InflationRate,$DA$7,,$D107)),0)),0)</f>
        <v>0</v>
      </c>
      <c r="DB107" s="149">
        <f>IF($C107&gt;0,(IF($DA$7&gt;=$C107+1, (-FV(InflationRate,$DA$7,,$E107)), 0)),0)</f>
        <v>0</v>
      </c>
      <c r="DC107" s="149">
        <f>IF($C107&gt;0,(IF($DA$7&gt;=$C107+1, (-FV(InflationRate,$DA$7,,$F107)), 0)),0)</f>
        <v>0</v>
      </c>
      <c r="DD107" s="157">
        <f>IF($C107&gt;0,(IF($DA$7&gt;=$C107+1, (-FV(InflationRate,$DA$7,,$G107)), 0)),0)</f>
        <v>0</v>
      </c>
    </row>
    <row r="108" spans="2:108" ht="12.75" customHeight="1" x14ac:dyDescent="0.2">
      <c r="B108" s="182" t="s">
        <v>216</v>
      </c>
      <c r="C108" s="189"/>
      <c r="D108" s="168"/>
      <c r="E108" s="149"/>
      <c r="F108" s="149"/>
      <c r="G108" s="149"/>
      <c r="H108" s="168"/>
      <c r="I108" s="600"/>
      <c r="J108" s="600"/>
      <c r="K108" s="600"/>
      <c r="L108" s="600"/>
      <c r="M108" s="600"/>
      <c r="N108" s="600"/>
      <c r="O108" s="600"/>
      <c r="P108" s="600"/>
      <c r="Q108" s="600"/>
      <c r="R108" s="600"/>
      <c r="S108" s="600"/>
      <c r="T108" s="600"/>
      <c r="U108" s="600"/>
      <c r="V108" s="600"/>
      <c r="W108" s="600"/>
      <c r="X108" s="600"/>
      <c r="Y108" s="600"/>
      <c r="Z108" s="600"/>
      <c r="AA108" s="600"/>
      <c r="AB108" s="601"/>
      <c r="AC108" s="160"/>
      <c r="AD108" s="150"/>
      <c r="AE108" s="150"/>
      <c r="AF108" s="165"/>
      <c r="AG108" s="168"/>
      <c r="AH108" s="149"/>
      <c r="AI108" s="149"/>
      <c r="AJ108" s="171"/>
      <c r="AK108" s="160"/>
      <c r="AL108" s="150"/>
      <c r="AM108" s="150"/>
      <c r="AN108" s="165"/>
      <c r="AO108" s="168"/>
      <c r="AP108" s="149"/>
      <c r="AQ108" s="149"/>
      <c r="AR108" s="157"/>
      <c r="AS108" s="160"/>
      <c r="AT108" s="150"/>
      <c r="AU108" s="150"/>
      <c r="AV108" s="165"/>
      <c r="AW108" s="168"/>
      <c r="AX108" s="149"/>
      <c r="AY108" s="149"/>
      <c r="AZ108" s="157"/>
      <c r="BA108" s="160"/>
      <c r="BB108" s="150"/>
      <c r="BC108" s="150"/>
      <c r="BD108" s="176"/>
      <c r="BE108" s="168"/>
      <c r="BF108" s="149"/>
      <c r="BG108" s="149"/>
      <c r="BH108" s="171"/>
      <c r="BI108" s="160"/>
      <c r="BJ108" s="150"/>
      <c r="BK108" s="150"/>
      <c r="BL108" s="176"/>
      <c r="BM108" s="168"/>
      <c r="BN108" s="149"/>
      <c r="BO108" s="149"/>
      <c r="BP108" s="157"/>
      <c r="BQ108" s="160"/>
      <c r="BR108" s="150"/>
      <c r="BS108" s="150"/>
      <c r="BT108" s="176"/>
      <c r="BU108" s="168"/>
      <c r="BV108" s="149"/>
      <c r="BW108" s="149"/>
      <c r="BX108" s="157"/>
      <c r="BY108" s="160"/>
      <c r="BZ108" s="150"/>
      <c r="CA108" s="150"/>
      <c r="CB108" s="176"/>
      <c r="CC108" s="168"/>
      <c r="CD108" s="149"/>
      <c r="CE108" s="149"/>
      <c r="CF108" s="157"/>
      <c r="CG108" s="160"/>
      <c r="CH108" s="150"/>
      <c r="CI108" s="150"/>
      <c r="CJ108" s="176"/>
      <c r="CK108" s="168"/>
      <c r="CL108" s="149"/>
      <c r="CM108" s="149"/>
      <c r="CN108" s="157"/>
      <c r="CO108" s="160"/>
      <c r="CP108" s="150"/>
      <c r="CQ108" s="150"/>
      <c r="CR108" s="176"/>
      <c r="CS108" s="168"/>
      <c r="CT108" s="149"/>
      <c r="CU108" s="149"/>
      <c r="CV108" s="157"/>
      <c r="CW108" s="160"/>
      <c r="CX108" s="150"/>
      <c r="CY108" s="150"/>
      <c r="CZ108" s="176"/>
      <c r="DA108" s="168"/>
      <c r="DB108" s="149"/>
      <c r="DC108" s="149"/>
      <c r="DD108" s="157"/>
    </row>
    <row r="109" spans="2:108" ht="12.75" customHeight="1" x14ac:dyDescent="0.2">
      <c r="B109" s="183" t="s">
        <v>220</v>
      </c>
      <c r="C109" s="556">
        <v>7</v>
      </c>
      <c r="D109" s="557">
        <v>66050</v>
      </c>
      <c r="E109" s="149"/>
      <c r="F109" s="149"/>
      <c r="G109" s="149"/>
      <c r="H109" s="168">
        <f>SUM(I109:AB109)</f>
        <v>73193.261389036765</v>
      </c>
      <c r="I109" s="610">
        <f>-PV(InterestRate,I$8,,(SUM(AC109:AF109)))</f>
        <v>0</v>
      </c>
      <c r="J109" s="610">
        <f>-PV(InterestRate,J$8,,(SUM(AG109:AJ109)))</f>
        <v>0</v>
      </c>
      <c r="K109" s="610">
        <f>-PV(InterestRate,K$8,,(SUM(AK109:AN109)))</f>
        <v>0</v>
      </c>
      <c r="L109" s="610">
        <f>-PV(InterestRate,L$8,,(SUM(AO109:AR109)))</f>
        <v>0</v>
      </c>
      <c r="M109" s="610">
        <f>-PV(InterestRate,M$8,,(SUM(AS109:AV109)))</f>
        <v>0</v>
      </c>
      <c r="N109" s="610">
        <f>-PV(InterestRate,N$8,,(SUM(AW109:AZ109)))</f>
        <v>0</v>
      </c>
      <c r="O109" s="610">
        <f>-PV(InterestRate,O$8,,(SUM(BA109:BD109)))</f>
        <v>73193.261389036765</v>
      </c>
      <c r="P109" s="610">
        <f>-PV(InterestRate,P$8,,(SUM(BE109:BH109)))</f>
        <v>0</v>
      </c>
      <c r="Q109" s="610">
        <f>-PV(InterestRate,Q$8,,(SUM(BI109:BL109)))</f>
        <v>0</v>
      </c>
      <c r="R109" s="610">
        <f>-PV(InterestRate,R$8,,(SUM(BM109:BP109)))</f>
        <v>0</v>
      </c>
      <c r="S109" s="610">
        <f>-PV(InterestRate,S$8,,(SUM(BQ109:BT109)))</f>
        <v>0</v>
      </c>
      <c r="T109" s="610">
        <f>-PV(InterestRate,T$8,,(SUM(BU109:BX109)))</f>
        <v>0</v>
      </c>
      <c r="U109" s="610">
        <f>-PV(InterestRate,U$8,,(SUM(BY109:CB109)))</f>
        <v>0</v>
      </c>
      <c r="V109" s="610">
        <f>-PV(InterestRate,V$8,,(SUM(CC109:CF109)))</f>
        <v>0</v>
      </c>
      <c r="W109" s="610">
        <f>-PV(InterestRate,W$8,,(SUM(CG109:CJ109)))</f>
        <v>0</v>
      </c>
      <c r="X109" s="610">
        <f>-PV(InterestRate,X$8,,(SUM(CK109:CN109)))</f>
        <v>0</v>
      </c>
      <c r="Y109" s="610">
        <f>-PV(InterestRate,Y$8,,(SUM(CO109:CR109)))</f>
        <v>0</v>
      </c>
      <c r="Z109" s="610">
        <f>-PV(InterestRate,Z$8,,(SUM(CS109:CV109)))</f>
        <v>0</v>
      </c>
      <c r="AA109" s="610">
        <f>-PV(InterestRate,AA$8,,(SUM(CW109:CZ109)))</f>
        <v>0</v>
      </c>
      <c r="AB109" s="611">
        <f>-PV(InterestRate,AB$8,,(SUM(DA109:DD109)))</f>
        <v>0</v>
      </c>
      <c r="AC109" s="160">
        <f>IF($C109&gt;0,(IF($C109=$AC$7,$D109,0)),0)</f>
        <v>0</v>
      </c>
      <c r="AD109" s="150">
        <f>IF($C109&gt;0,(IF($AC$7&gt;=$C109+1,$E109,0)),0)</f>
        <v>0</v>
      </c>
      <c r="AE109" s="150">
        <f>IF($C109&gt;0,(IF($C109=$AC$7,$F109,0)),0)</f>
        <v>0</v>
      </c>
      <c r="AF109" s="165">
        <f>IF($C109&gt;0,(IF($AC$7&gt;=$C109+1,$G109,0)),0)</f>
        <v>0</v>
      </c>
      <c r="AG109" s="168">
        <f>IF($C109&gt;0,(IF($C109=$AG$7,(-FV(InflationRate,$AG$7,,$D109)),0)),0)</f>
        <v>0</v>
      </c>
      <c r="AH109" s="149">
        <f>IF($C109&gt;0,(IF($AG$7&gt;=$C109+1, (-FV(InflationRate,$AG$7,,$E109)), 0)),0)</f>
        <v>0</v>
      </c>
      <c r="AI109" s="149">
        <f>IF($C109&gt;0,(IF($AG$7&gt;=$C109+1, (-FV(InflationRate,$AG$7,,$F109)), 0)),0)</f>
        <v>0</v>
      </c>
      <c r="AJ109" s="171">
        <f>IF($C109&gt;0,(IF($AG$7&gt;=$C109+1, (-FV(InflationRate,$AG$7,,$G109)), 0)),0)</f>
        <v>0</v>
      </c>
      <c r="AK109" s="160">
        <f>IF($C109&gt;0,(IF($C109=$AK$7,(-FV(InflationRate,$AK$7,,$D109)),0)),0)</f>
        <v>0</v>
      </c>
      <c r="AL109" s="150">
        <f>IF($C109&gt;0,(IF($AK$7&gt;=$C109+1, (-FV(InflationRate,$AK$7,,$E109)), 0)),0)</f>
        <v>0</v>
      </c>
      <c r="AM109" s="150">
        <f>IF($C109&gt;0,(IF($AK$7&gt;=$C109+1, (-FV(InflationRate,$AK$7,,$F109)), 0)),0)</f>
        <v>0</v>
      </c>
      <c r="AN109" s="165">
        <f>IF($C109&gt;0,(IF($AK$7&gt;=$C109+1, (-FV(InflationRate,$AK$7,,$G109)), 0)),0)</f>
        <v>0</v>
      </c>
      <c r="AO109" s="168">
        <f>IF($C109&gt;0,(IF($C109=$AO$7,(-FV(InflationRate,$AO$7,,$D109)),0)),0)</f>
        <v>0</v>
      </c>
      <c r="AP109" s="149">
        <f>IF($C109&gt;0,(IF($AO$7&gt;=$C109+1, (-FV(InflationRate,$AO$7,,$E109)), 0)),0)</f>
        <v>0</v>
      </c>
      <c r="AQ109" s="149">
        <f>IF($C109&gt;0,(IF($AO$7&gt;=$C109+1, (-FV(InflationRate,$AO$7,,$F109)), 0)),0)</f>
        <v>0</v>
      </c>
      <c r="AR109" s="157">
        <f>IF($C109&gt;0,(IF($AO$7&gt;=$C109+1, (-FV(InflationRate,$AO$7,,$G109)), 0)),0)</f>
        <v>0</v>
      </c>
      <c r="AS109" s="160">
        <f>IF($C109&gt;0,(IF($C109=$AS$7,(-FV(InflationRate,$AS$7,,$D109)),0)),0)</f>
        <v>0</v>
      </c>
      <c r="AT109" s="150">
        <f>IF($C109&gt;0,(IF($AS$7&gt;=$C109+1, (-FV(InflationRate,$AS$7,,$E109)), 0)),0)</f>
        <v>0</v>
      </c>
      <c r="AU109" s="150">
        <f>IF($C109&gt;0,(IF($AS$7&gt;=$C109+1, (-FV(InflationRate,$AS$7,,$F109)), 0)),0)</f>
        <v>0</v>
      </c>
      <c r="AV109" s="165">
        <f>IF($C109&gt;0,(IF($AS$7&gt;=$C109+1, (-FV(InflationRate,$AS$7,,$G109)), 0)),0)</f>
        <v>0</v>
      </c>
      <c r="AW109" s="168">
        <f>IF($C109&gt;0,(IF($C109=$AW$7,(-FV(InflationRate,$AW$7,,$D109)),0)),0)</f>
        <v>0</v>
      </c>
      <c r="AX109" s="149">
        <f>IF($C109&gt;0,(IF($AW$7&gt;=$C109+1, (-FV(InflationRate,$AW$7,,$E109)), 0)),0)</f>
        <v>0</v>
      </c>
      <c r="AY109" s="149">
        <f>IF($C109&gt;0,(IF($AW$7&gt;=$C109+1, (-FV(InflationRate,$AW$7,,$F109)), 0)),0)</f>
        <v>0</v>
      </c>
      <c r="AZ109" s="157">
        <f>IF($C109&gt;0,(IF($AW$7&gt;=$C109+1, (-FV(InflationRate,$AW$7,,$G109)), 0)),0)</f>
        <v>0</v>
      </c>
      <c r="BA109" s="160">
        <f>IF($C109&gt;0,(IF($C109=$BA$7,(-FV(InflationRate,$BA$7,,$D109)),0)),0)</f>
        <v>81233.168811312658</v>
      </c>
      <c r="BB109" s="150">
        <f>IF($C109&gt;0,(IF($BA$7&gt;=$C109+1, (-FV(InflationRate,$BA$7,,$E109)), 0)),0)</f>
        <v>0</v>
      </c>
      <c r="BC109" s="150">
        <f>IF($C109&gt;0,(IF($BA$7&gt;=$C109+1, (-FV(InflationRate,$BA$7,,$F109)), 0)),0)</f>
        <v>0</v>
      </c>
      <c r="BD109" s="176">
        <f>IF($C109&gt;0,(IF($BA$7&gt;=$C109+1, (-FV(InflationRate,$BA$7,,$G109)), 0)),0)</f>
        <v>0</v>
      </c>
      <c r="BE109" s="168">
        <f>IF($C109&gt;0,(IF($C109=$BE$7,(-FV(InflationRate,$BE$7,,$D109)),0)),0)</f>
        <v>0</v>
      </c>
      <c r="BF109" s="149">
        <f>IF($C109&gt;0,(IF($BE$7&gt;=$C109+1, (-FV(InflationRate,$BE$7,,$E109)), 0)),0)</f>
        <v>0</v>
      </c>
      <c r="BG109" s="149">
        <f>IF($C109&gt;0,(IF($BE$7&gt;=$C109+1, (-FV(InflationRate,$BE$7,,$F109)), 0)),0)</f>
        <v>0</v>
      </c>
      <c r="BH109" s="171">
        <f>IF($C109&gt;0,(IF($BE$7&gt;=$C109+1, (-FV(InflationRate,$BE$7,,$G109)), 0)),0)</f>
        <v>0</v>
      </c>
      <c r="BI109" s="160">
        <f>IF($C109&gt;0,(IF($C109=$BI$7,(-FV(InflationRate,$BI$7,,$D109)),0)),0)</f>
        <v>0</v>
      </c>
      <c r="BJ109" s="150">
        <f>IF($C109&gt;0,(IF($BI$7&gt;=$C109+1, (-FV(InflationRate,$BI$7,,$E109)), 0)),0)</f>
        <v>0</v>
      </c>
      <c r="BK109" s="150">
        <f>IF($C109&gt;0,(IF($BI$7&gt;=$C109+1, (-FV(InflationRate,$BI$7,,$F109)), 0)),0)</f>
        <v>0</v>
      </c>
      <c r="BL109" s="176">
        <f>IF($C109&gt;0,(IF($BI$7&gt;=$C109+1, (-FV(InflationRate,$BI$7,,$G109)), 0)),0)</f>
        <v>0</v>
      </c>
      <c r="BM109" s="168">
        <f>IF($C109&gt;0,(IF($C109=$BM$7,(-FV(InflationRate,$BM$7,,$D109)),0)),0)</f>
        <v>0</v>
      </c>
      <c r="BN109" s="149">
        <f>IF($C109&gt;0,(IF($BM$7&gt;=$C109+1, (-FV(InflationRate,$BM$7,,$E109)), 0)),0)</f>
        <v>0</v>
      </c>
      <c r="BO109" s="149">
        <f>IF($C109&gt;0,(IF($BM$7&gt;=$C109+1, (-FV(InflationRate,$BM$7,,$F109)), 0)),0)</f>
        <v>0</v>
      </c>
      <c r="BP109" s="157">
        <f>IF($C109&gt;0,(IF($BM$7&gt;=$C109+1, (-FV(InflationRate,$BM$7,,$G109)), 0)),0)</f>
        <v>0</v>
      </c>
      <c r="BQ109" s="160">
        <f>IF($C109&gt;0,(IF($C109=$BQ$7,(-FV(InflationRate,$BQ$7,,$D109)),0)),0)</f>
        <v>0</v>
      </c>
      <c r="BR109" s="150">
        <f>IF($C109&gt;0,(IF($BQ$7&gt;=$C109+1, (-FV(InflationRate,$BQ$7,,$E109)), 0)),0)</f>
        <v>0</v>
      </c>
      <c r="BS109" s="150">
        <f>IF($C109&gt;0,(IF($BQ$7&gt;=$C109+1, (-FV(InflationRate,$BQ$7,,$F109)), 0)),0)</f>
        <v>0</v>
      </c>
      <c r="BT109" s="176">
        <f>IF($C109&gt;0,(IF($BQ$7&gt;=$C109+1, (-FV(InflationRate,$BQ$7,,$G109)), 0)),0)</f>
        <v>0</v>
      </c>
      <c r="BU109" s="168">
        <f>IF($C109&gt;0,(IF($C109=$BU$7,(-FV(InflationRate,$BU$7,,$D109)),0)),0)</f>
        <v>0</v>
      </c>
      <c r="BV109" s="149">
        <f>IF($C109&gt;0,(IF($BU$7&gt;=$C109+1, (-FV(InflationRate,$BU$7,,$E109)), 0)),0)</f>
        <v>0</v>
      </c>
      <c r="BW109" s="149">
        <f>IF($C109&gt;0,(IF($BU$7&gt;=$C109+1, (-FV(InflationRate,$BU$7,,$F109)), 0)),0)</f>
        <v>0</v>
      </c>
      <c r="BX109" s="157">
        <f>IF($C109&gt;0,(IF($BU$7&gt;=$C109+1, (-FV(InflationRate,$BU$7,,$G109)), 0)),0)</f>
        <v>0</v>
      </c>
      <c r="BY109" s="160">
        <f>IF($C109&gt;0,(IF($C109=$BY$7,(-FV(InflationRate,$BY$7,,$D109)),0)),0)</f>
        <v>0</v>
      </c>
      <c r="BZ109" s="150">
        <f>IF($C109&gt;0,(IF($BY$7&gt;=$C109+1, (-FV(InflationRate,$BY$7,,$E109)), 0)),0)</f>
        <v>0</v>
      </c>
      <c r="CA109" s="150">
        <f>IF($C109&gt;0,(IF($BY$7&gt;=$C109+1, (-FV(InflationRate,$BY$7,,$F109)), 0)),0)</f>
        <v>0</v>
      </c>
      <c r="CB109" s="176">
        <f>IF($C109&gt;0,(IF($BY$7&gt;=$C109+1, (-FV(InflationRate,$BY$7,,$G109)), 0)),0)</f>
        <v>0</v>
      </c>
      <c r="CC109" s="168">
        <f>IF($C109&gt;0,(IF($C109=$CC$7,(-FV(InflationRate,$CC$7,,$D109)),0)),0)</f>
        <v>0</v>
      </c>
      <c r="CD109" s="149">
        <f>IF($C109&gt;0,(IF($CC$7&gt;=$C109+1, (-FV(InflationRate,$CC$7,,$E109)), 0)),0)</f>
        <v>0</v>
      </c>
      <c r="CE109" s="149">
        <f>IF($C109&gt;0,(IF($CC$7&gt;=$C109+1, (-FV(InflationRate,$CC$7,,$F109)), 0)),0)</f>
        <v>0</v>
      </c>
      <c r="CF109" s="157">
        <f>IF($C109&gt;0,(IF($CC$7&gt;=$C109+1, (-FV(InflationRate,$CC$7,,$G109)), 0)),0)</f>
        <v>0</v>
      </c>
      <c r="CG109" s="160">
        <f>IF($C109&gt;0,(IF($C109=$CG$7,(-FV(InflationRate,$CG$7,,$D109)),0)),0)</f>
        <v>0</v>
      </c>
      <c r="CH109" s="150">
        <f>IF($C109&gt;0,(IF($CG$7&gt;=$C109+1, (-FV(InflationRate,$CG$7,,$E109)), 0)),0)</f>
        <v>0</v>
      </c>
      <c r="CI109" s="150">
        <f>IF($C109&gt;0,(IF($CG$7&gt;=$C109+1, (-FV(InflationRate,$CG$7,,$F109)), 0)),0)</f>
        <v>0</v>
      </c>
      <c r="CJ109" s="176">
        <f>IF($C109&gt;0,(IF($CG$7&gt;=$C109+1, (-FV(InflationRate,$CG$7,,$G109)), 0)),0)</f>
        <v>0</v>
      </c>
      <c r="CK109" s="168">
        <f>IF($C109&gt;0,(IF($C109=$CK$7,(-FV(InflationRate,$CK$7,,$D109)),0)),0)</f>
        <v>0</v>
      </c>
      <c r="CL109" s="149">
        <f>IF($C109&gt;0,(IF($CK$7&gt;=$C109+1, (-FV(InflationRate,$CK$7,,$E109)), 0)),0)</f>
        <v>0</v>
      </c>
      <c r="CM109" s="149">
        <f>IF($C109&gt;0,(IF($CK$7&gt;=$C109+1, (-FV(InflationRate,$CK$7,,$F109)), 0)),0)</f>
        <v>0</v>
      </c>
      <c r="CN109" s="157">
        <f>IF($C109&gt;0,(IF($CK$7&gt;=$C109+1, (-FV(InflationRate,$CK$7,,$G109)), 0)),0)</f>
        <v>0</v>
      </c>
      <c r="CO109" s="160">
        <f>IF($C109&gt;0,(IF($C109=$CO$7,(-FV(InflationRate,$CO$7,,$D109)),0)),0)</f>
        <v>0</v>
      </c>
      <c r="CP109" s="150">
        <f>IF($C109&gt;0,(IF($CO$7&gt;=$C109+1, (-FV(InflationRate,$CO$7,,$E109)), 0)),0)</f>
        <v>0</v>
      </c>
      <c r="CQ109" s="150">
        <f>IF($C109&gt;0,(IF($CO$7&gt;=$C109+1, (-FV(InflationRate,$CO$7,,$F109)), 0)),0)</f>
        <v>0</v>
      </c>
      <c r="CR109" s="176">
        <f>IF($C109&gt;0,(IF($CO$7&gt;=$C109+1, (-FV(InflationRate,$CO$7,,$G109)), 0)),0)</f>
        <v>0</v>
      </c>
      <c r="CS109" s="168">
        <f>IF($C109&gt;0,(IF($C109=$CS$7,(-FV(InflationRate,$CS$7,,$D109)),0)),0)</f>
        <v>0</v>
      </c>
      <c r="CT109" s="149">
        <f>IF($C109&gt;0,(IF($CS$7&gt;=$C109+1, (-FV(InflationRate,$CS$7,,$E109)), 0)),0)</f>
        <v>0</v>
      </c>
      <c r="CU109" s="149">
        <f>IF($C109&gt;0,(IF($CS$7&gt;=$C109+1, (-FV(InflationRate,$CS$7,,$F109)), 0)),0)</f>
        <v>0</v>
      </c>
      <c r="CV109" s="157">
        <f>IF($C109&gt;0,(IF($CS$7&gt;=$C109+1, (-FV(InflationRate,$CS$7,,$G109)), 0)),0)</f>
        <v>0</v>
      </c>
      <c r="CW109" s="160">
        <f>IF($C109&gt;0,(IF($C109=$CW$7,(-FV(InflationRate,$CW$7,,$D109)),0)),0)</f>
        <v>0</v>
      </c>
      <c r="CX109" s="150">
        <f>IF($C109&gt;0,(IF($CW$7&gt;=$C109+1, (-FV(InflationRate,$CW$7,,$E109)), 0)),0)</f>
        <v>0</v>
      </c>
      <c r="CY109" s="150">
        <f>IF($C109&gt;0,(IF($CW$7&gt;=$C109+1, (-FV(InflationRate,$CW$7,,$F109)), 0)),0)</f>
        <v>0</v>
      </c>
      <c r="CZ109" s="176">
        <f>IF($C109&gt;0,(IF($CW$7&gt;=$C109+1, (-FV(InflationRate,$CW$7,,$G109)), 0)),0)</f>
        <v>0</v>
      </c>
      <c r="DA109" s="168">
        <f>IF($C109&gt;0,(IF($C109=$DA$7,(-FV(InflationRate,$DA$7,,$D109)),0)),0)</f>
        <v>0</v>
      </c>
      <c r="DB109" s="149">
        <f>IF($C109&gt;0,(IF($DA$7&gt;=$C109+1, (-FV(InflationRate,$DA$7,,$E109)), 0)),0)</f>
        <v>0</v>
      </c>
      <c r="DC109" s="149">
        <f>IF($C109&gt;0,(IF($DA$7&gt;=$C109+1, (-FV(InflationRate,$DA$7,,$F109)), 0)),0)</f>
        <v>0</v>
      </c>
      <c r="DD109" s="157">
        <f>IF($C109&gt;0,(IF($DA$7&gt;=$C109+1, (-FV(InflationRate,$DA$7,,$G109)), 0)),0)</f>
        <v>0</v>
      </c>
    </row>
    <row r="110" spans="2:108" ht="12.75" customHeight="1" x14ac:dyDescent="0.2">
      <c r="B110" s="183" t="s">
        <v>270</v>
      </c>
      <c r="C110" s="556">
        <v>10</v>
      </c>
      <c r="D110" s="557">
        <v>1056900</v>
      </c>
      <c r="E110" s="558">
        <v>11300</v>
      </c>
      <c r="F110" s="149"/>
      <c r="G110" s="558">
        <v>10800</v>
      </c>
      <c r="H110" s="168">
        <f>SUM(I110:AB110)</f>
        <v>1501570.757591954</v>
      </c>
      <c r="I110" s="610">
        <f>-PV(InterestRate,I$8,,(SUM(AC110:AF110)))</f>
        <v>0</v>
      </c>
      <c r="J110" s="610">
        <f>-PV(InterestRate,J$8,,(SUM(AG110:AJ110)))</f>
        <v>0</v>
      </c>
      <c r="K110" s="610">
        <f>-PV(InterestRate,K$8,,(SUM(AK110:AN110)))</f>
        <v>0</v>
      </c>
      <c r="L110" s="610">
        <f>-PV(InterestRate,L$8,,(SUM(AO110:AR110)))</f>
        <v>0</v>
      </c>
      <c r="M110" s="610">
        <f>-PV(InterestRate,M$8,,(SUM(AS110:AV110)))</f>
        <v>0</v>
      </c>
      <c r="N110" s="610">
        <f>-PV(InterestRate,N$8,,(SUM(AW110:AZ110)))</f>
        <v>0</v>
      </c>
      <c r="O110" s="610">
        <f>-PV(InterestRate,O$8,,(SUM(BA110:BD110)))</f>
        <v>0</v>
      </c>
      <c r="P110" s="610">
        <f>-PV(InterestRate,P$8,,(SUM(BE110:BH110)))</f>
        <v>0</v>
      </c>
      <c r="Q110" s="610">
        <f>-PV(InterestRate,Q$8,,(SUM(BI110:BL110)))</f>
        <v>0</v>
      </c>
      <c r="R110" s="610">
        <f>-PV(InterestRate,R$8,,(SUM(BM110:BP110)))</f>
        <v>1223899.4016414918</v>
      </c>
      <c r="S110" s="610">
        <f>-PV(InterestRate,S$8,,(SUM(BQ110:BT110)))</f>
        <v>25970.199192606015</v>
      </c>
      <c r="T110" s="610">
        <f>-PV(InterestRate,T$8,,(SUM(BU110:BX110)))</f>
        <v>26353.995239787389</v>
      </c>
      <c r="U110" s="610">
        <f>-PV(InterestRate,U$8,,(SUM(BY110:CB110)))</f>
        <v>26743.463149734984</v>
      </c>
      <c r="V110" s="610">
        <f>-PV(InterestRate,V$8,,(SUM(CC110:CF110)))</f>
        <v>27138.686743080831</v>
      </c>
      <c r="W110" s="610">
        <f>-PV(InterestRate,W$8,,(SUM(CG110:CJ110)))</f>
        <v>27539.751079185484</v>
      </c>
      <c r="X110" s="610">
        <f>-PV(InterestRate,X$8,,(SUM(CK110:CN110)))</f>
        <v>27946.742474444378</v>
      </c>
      <c r="Y110" s="610">
        <f>-PV(InterestRate,Y$8,,(SUM(CO110:CR110)))</f>
        <v>28359.748520864745</v>
      </c>
      <c r="Z110" s="610">
        <f>-PV(InterestRate,Z$8,,(SUM(CS110:CV110)))</f>
        <v>28778.858104916933</v>
      </c>
      <c r="AA110" s="610">
        <f>-PV(InterestRate,AA$8,,(SUM(CW110:CZ110)))</f>
        <v>29204.161426664472</v>
      </c>
      <c r="AB110" s="611">
        <f>-PV(InterestRate,AB$8,,(SUM(DA110:DD110)))</f>
        <v>29635.750019176769</v>
      </c>
      <c r="AC110" s="160">
        <f>IF($C110&gt;0,(IF($C110=$AC$7,$D110,0)),0)</f>
        <v>0</v>
      </c>
      <c r="AD110" s="150">
        <f>IF($C110&gt;0,(IF($AC$7&gt;=$C110+1,$E110,0)),0)</f>
        <v>0</v>
      </c>
      <c r="AE110" s="150">
        <f>IF($C110&gt;0,(IF($C110=$AC$7,$F110,0)),0)</f>
        <v>0</v>
      </c>
      <c r="AF110" s="165">
        <f>IF($C110&gt;0,(IF($AC$7&gt;=$C110+1,$G110,0)),0)</f>
        <v>0</v>
      </c>
      <c r="AG110" s="168">
        <f>IF($C110&gt;0,(IF($C110=$AG$7,(-FV(InflationRate,$AG$7,,$D110)),0)),0)</f>
        <v>0</v>
      </c>
      <c r="AH110" s="149">
        <f>IF($C110&gt;0,(IF($AG$7&gt;=$C110+1, (-FV(InflationRate,$AG$7,,$E110)), 0)),0)</f>
        <v>0</v>
      </c>
      <c r="AI110" s="149">
        <f>IF($C110&gt;0,(IF($AG$7&gt;=$C110+1, (-FV(InflationRate,$AG$7,,$F110)), 0)),0)</f>
        <v>0</v>
      </c>
      <c r="AJ110" s="171">
        <f>IF($C110&gt;0,(IF($AG$7&gt;=$C110+1, (-FV(InflationRate,$AG$7,,$G110)), 0)),0)</f>
        <v>0</v>
      </c>
      <c r="AK110" s="160">
        <f>IF($C110&gt;0,(IF($C110=$AK$7,(-FV(InflationRate,$AK$7,,$D110)),0)),0)</f>
        <v>0</v>
      </c>
      <c r="AL110" s="150">
        <f>IF($C110&gt;0,(IF($AK$7&gt;=$C110+1, (-FV(InflationRate,$AK$7,,$E110)), 0)),0)</f>
        <v>0</v>
      </c>
      <c r="AM110" s="150">
        <f>IF($C110&gt;0,(IF($AK$7&gt;=$C110+1, (-FV(InflationRate,$AK$7,,$F110)), 0)),0)</f>
        <v>0</v>
      </c>
      <c r="AN110" s="165">
        <f>IF($C110&gt;0,(IF($AK$7&gt;=$C110+1, (-FV(InflationRate,$AK$7,,$G110)), 0)),0)</f>
        <v>0</v>
      </c>
      <c r="AO110" s="168">
        <f>IF($C110&gt;0,(IF($C110=$AO$7,(-FV(InflationRate,$AO$7,,$D110)),0)),0)</f>
        <v>0</v>
      </c>
      <c r="AP110" s="149">
        <f>IF($C110&gt;0,(IF($AO$7&gt;=$C110+1, (-FV(InflationRate,$AO$7,,$E110)), 0)),0)</f>
        <v>0</v>
      </c>
      <c r="AQ110" s="149">
        <f>IF($C110&gt;0,(IF($AO$7&gt;=$C110+1, (-FV(InflationRate,$AO$7,,$F110)), 0)),0)</f>
        <v>0</v>
      </c>
      <c r="AR110" s="157">
        <f>IF($C110&gt;0,(IF($AO$7&gt;=$C110+1, (-FV(InflationRate,$AO$7,,$G110)), 0)),0)</f>
        <v>0</v>
      </c>
      <c r="AS110" s="160">
        <f>IF($C110&gt;0,(IF($C110=$AS$7,(-FV(InflationRate,$AS$7,,$D110)),0)),0)</f>
        <v>0</v>
      </c>
      <c r="AT110" s="150">
        <f>IF($C110&gt;0,(IF($AS$7&gt;=$C110+1, (-FV(InflationRate,$AS$7,,$E110)), 0)),0)</f>
        <v>0</v>
      </c>
      <c r="AU110" s="150">
        <f>IF($C110&gt;0,(IF($AS$7&gt;=$C110+1, (-FV(InflationRate,$AS$7,,$F110)), 0)),0)</f>
        <v>0</v>
      </c>
      <c r="AV110" s="165">
        <f>IF($C110&gt;0,(IF($AS$7&gt;=$C110+1, (-FV(InflationRate,$AS$7,,$G110)), 0)),0)</f>
        <v>0</v>
      </c>
      <c r="AW110" s="168">
        <f>IF($C110&gt;0,(IF($C110=$AW$7,(-FV(InflationRate,$AW$7,,$D110)),0)),0)</f>
        <v>0</v>
      </c>
      <c r="AX110" s="149">
        <f>IF($C110&gt;0,(IF($AW$7&gt;=$C110+1, (-FV(InflationRate,$AW$7,,$E110)), 0)),0)</f>
        <v>0</v>
      </c>
      <c r="AY110" s="149">
        <f>IF($C110&gt;0,(IF($AW$7&gt;=$C110+1, (-FV(InflationRate,$AW$7,,$F110)), 0)),0)</f>
        <v>0</v>
      </c>
      <c r="AZ110" s="157">
        <f>IF($C110&gt;0,(IF($AW$7&gt;=$C110+1, (-FV(InflationRate,$AW$7,,$G110)), 0)),0)</f>
        <v>0</v>
      </c>
      <c r="BA110" s="160">
        <f>IF($C110&gt;0,(IF($C110=$BA$7,(-FV(InflationRate,$BA$7,,$D110)),0)),0)</f>
        <v>0</v>
      </c>
      <c r="BB110" s="150">
        <f>IF($C110&gt;0,(IF($BA$7&gt;=$C110+1, (-FV(InflationRate,$BA$7,,$E110)), 0)),0)</f>
        <v>0</v>
      </c>
      <c r="BC110" s="150">
        <f>IF($C110&gt;0,(IF($BA$7&gt;=$C110+1, (-FV(InflationRate,$BA$7,,$F110)), 0)),0)</f>
        <v>0</v>
      </c>
      <c r="BD110" s="176">
        <f>IF($C110&gt;0,(IF($BA$7&gt;=$C110+1, (-FV(InflationRate,$BA$7,,$G110)), 0)),0)</f>
        <v>0</v>
      </c>
      <c r="BE110" s="168">
        <f>IF($C110&gt;0,(IF($C110=$BE$7,(-FV(InflationRate,$BE$7,,$D110)),0)),0)</f>
        <v>0</v>
      </c>
      <c r="BF110" s="149">
        <f>IF($C110&gt;0,(IF($BE$7&gt;=$C110+1, (-FV(InflationRate,$BE$7,,$E110)), 0)),0)</f>
        <v>0</v>
      </c>
      <c r="BG110" s="149">
        <f>IF($C110&gt;0,(IF($BE$7&gt;=$C110+1, (-FV(InflationRate,$BE$7,,$F110)), 0)),0)</f>
        <v>0</v>
      </c>
      <c r="BH110" s="171">
        <f>IF($C110&gt;0,(IF($BE$7&gt;=$C110+1, (-FV(InflationRate,$BE$7,,$G110)), 0)),0)</f>
        <v>0</v>
      </c>
      <c r="BI110" s="160">
        <f>IF($C110&gt;0,(IF($C110=$BI$7,(-FV(InflationRate,$BI$7,,$D110)),0)),0)</f>
        <v>0</v>
      </c>
      <c r="BJ110" s="150">
        <f>IF($C110&gt;0,(IF($BI$7&gt;=$C110+1, (-FV(InflationRate,$BI$7,,$E110)), 0)),0)</f>
        <v>0</v>
      </c>
      <c r="BK110" s="150">
        <f>IF($C110&gt;0,(IF($BI$7&gt;=$C110+1, (-FV(InflationRate,$BI$7,,$F110)), 0)),0)</f>
        <v>0</v>
      </c>
      <c r="BL110" s="176">
        <f>IF($C110&gt;0,(IF($BI$7&gt;=$C110+1, (-FV(InflationRate,$BI$7,,$G110)), 0)),0)</f>
        <v>0</v>
      </c>
      <c r="BM110" s="168">
        <f>IF($C110&gt;0,(IF($C110=$BM$7,(-FV(InflationRate,$BM$7,,$D110)),0)),0)</f>
        <v>1420385.2213288024</v>
      </c>
      <c r="BN110" s="149">
        <f>IF($C110&gt;0,(IF($BM$7&gt;=$C110+1, (-FV(InflationRate,$BM$7,,$E110)), 0)),0)</f>
        <v>0</v>
      </c>
      <c r="BO110" s="149">
        <f>IF($C110&gt;0,(IF($BM$7&gt;=$C110+1, (-FV(InflationRate,$BM$7,,$F110)), 0)),0)</f>
        <v>0</v>
      </c>
      <c r="BP110" s="157">
        <f>IF($C110&gt;0,(IF($BM$7&gt;=$C110+1, (-FV(InflationRate,$BM$7,,$G110)), 0)),0)</f>
        <v>0</v>
      </c>
      <c r="BQ110" s="160">
        <f>IF($C110&gt;0,(IF($C110=$BQ$7,(-FV(InflationRate,$BQ$7,,$D110)),0)),0)</f>
        <v>0</v>
      </c>
      <c r="BR110" s="150">
        <f>IF($C110&gt;0,(IF($BQ$7&gt;=$C110+1, (-FV(InflationRate,$BQ$7,,$E110)), 0)),0)</f>
        <v>15641.842739186233</v>
      </c>
      <c r="BS110" s="150">
        <f>IF($C110&gt;0,(IF($BQ$7&gt;=$C110+1, (-FV(InflationRate,$BQ$7,,$F110)), 0)),0)</f>
        <v>0</v>
      </c>
      <c r="BT110" s="176">
        <f>IF($C110&gt;0,(IF($BQ$7&gt;=$C110+1, (-FV(InflationRate,$BQ$7,,$G110)), 0)),0)</f>
        <v>14949.725803824011</v>
      </c>
      <c r="BU110" s="168">
        <f>IF($C110&gt;0,(IF($C110=$BU$7,(-FV(InflationRate,$BU$7,,$D110)),0)),0)</f>
        <v>0</v>
      </c>
      <c r="BV110" s="149">
        <f>IF($C110&gt;0,(IF($BU$7&gt;=$C110+1, (-FV(InflationRate,$BU$7,,$E110)), 0)),0)</f>
        <v>16111.098021361819</v>
      </c>
      <c r="BW110" s="149">
        <f>IF($C110&gt;0,(IF($BU$7&gt;=$C110+1, (-FV(InflationRate,$BU$7,,$F110)), 0)),0)</f>
        <v>0</v>
      </c>
      <c r="BX110" s="157">
        <f>IF($C110&gt;0,(IF($BU$7&gt;=$C110+1, (-FV(InflationRate,$BU$7,,$G110)), 0)),0)</f>
        <v>15398.217577938729</v>
      </c>
      <c r="BY110" s="160">
        <f>IF($C110&gt;0,(IF($C110=$BY$7,(-FV(InflationRate,$BY$7,,$D110)),0)),0)</f>
        <v>0</v>
      </c>
      <c r="BZ110" s="150">
        <f>IF($C110&gt;0,(IF($BY$7&gt;=$C110+1, (-FV(InflationRate,$BY$7,,$E110)), 0)),0)</f>
        <v>16594.430962002672</v>
      </c>
      <c r="CA110" s="150">
        <f>IF($C110&gt;0,(IF($BY$7&gt;=$C110+1, (-FV(InflationRate,$BY$7,,$F110)), 0)),0)</f>
        <v>0</v>
      </c>
      <c r="CB110" s="176">
        <f>IF($C110&gt;0,(IF($BY$7&gt;=$C110+1, (-FV(InflationRate,$BY$7,,$G110)), 0)),0)</f>
        <v>15860.16410527689</v>
      </c>
      <c r="CC110" s="168">
        <f>IF($C110&gt;0,(IF($C110=$CC$7,(-FV(InflationRate,$CC$7,,$D110)),0)),0)</f>
        <v>0</v>
      </c>
      <c r="CD110" s="149">
        <f>IF($C110&gt;0,(IF($CC$7&gt;=$C110+1, (-FV(InflationRate,$CC$7,,$E110)), 0)),0)</f>
        <v>17092.263890862756</v>
      </c>
      <c r="CE110" s="149">
        <f>IF($C110&gt;0,(IF($CC$7&gt;=$C110+1, (-FV(InflationRate,$CC$7,,$F110)), 0)),0)</f>
        <v>0</v>
      </c>
      <c r="CF110" s="157">
        <f>IF($C110&gt;0,(IF($CC$7&gt;=$C110+1, (-FV(InflationRate,$CC$7,,$G110)), 0)),0)</f>
        <v>16335.969028435198</v>
      </c>
      <c r="CG110" s="160">
        <f>IF($C110&gt;0,(IF($C110=$CG$7,(-FV(InflationRate,$CG$7,,$D110)),0)),0)</f>
        <v>0</v>
      </c>
      <c r="CH110" s="150">
        <f>IF($C110&gt;0,(IF($CG$7&gt;=$C110+1, (-FV(InflationRate,$CG$7,,$E110)), 0)),0)</f>
        <v>17605.031807588639</v>
      </c>
      <c r="CI110" s="150">
        <f>IF($C110&gt;0,(IF($CG$7&gt;=$C110+1, (-FV(InflationRate,$CG$7,,$F110)), 0)),0)</f>
        <v>0</v>
      </c>
      <c r="CJ110" s="176">
        <f>IF($C110&gt;0,(IF($CG$7&gt;=$C110+1, (-FV(InflationRate,$CG$7,,$G110)), 0)),0)</f>
        <v>16826.048099288255</v>
      </c>
      <c r="CK110" s="168">
        <f>IF($C110&gt;0,(IF($C110=$CK$7,(-FV(InflationRate,$CK$7,,$D110)),0)),0)</f>
        <v>0</v>
      </c>
      <c r="CL110" s="149">
        <f>IF($C110&gt;0,(IF($CK$7&gt;=$C110+1, (-FV(InflationRate,$CK$7,,$E110)), 0)),0)</f>
        <v>18133.182761816293</v>
      </c>
      <c r="CM110" s="149">
        <f>IF($C110&gt;0,(IF($CK$7&gt;=$C110+1, (-FV(InflationRate,$CK$7,,$F110)), 0)),0)</f>
        <v>0</v>
      </c>
      <c r="CN110" s="157">
        <f>IF($C110&gt;0,(IF($CK$7&gt;=$C110+1, (-FV(InflationRate,$CK$7,,$G110)), 0)),0)</f>
        <v>17330.8295422669</v>
      </c>
      <c r="CO110" s="160">
        <f>IF($C110&gt;0,(IF($C110=$CO$7,(-FV(InflationRate,$CO$7,,$D110)),0)),0)</f>
        <v>0</v>
      </c>
      <c r="CP110" s="150">
        <f>IF($C110&gt;0,(IF($CO$7&gt;=$C110+1, (-FV(InflationRate,$CO$7,,$E110)), 0)),0)</f>
        <v>18677.178244670784</v>
      </c>
      <c r="CQ110" s="150">
        <f>IF($C110&gt;0,(IF($CO$7&gt;=$C110+1, (-FV(InflationRate,$CO$7,,$F110)), 0)),0)</f>
        <v>0</v>
      </c>
      <c r="CR110" s="176">
        <f>IF($C110&gt;0,(IF($CO$7&gt;=$C110+1, (-FV(InflationRate,$CO$7,,$G110)), 0)),0)</f>
        <v>17850.754428534907</v>
      </c>
      <c r="CS110" s="168">
        <f>IF($C110&gt;0,(IF($C110=$CS$7,(-FV(InflationRate,$CS$7,,$D110)),0)),0)</f>
        <v>0</v>
      </c>
      <c r="CT110" s="149">
        <f>IF($C110&gt;0,(IF($CS$7&gt;=$C110+1, (-FV(InflationRate,$CS$7,,$E110)), 0)),0)</f>
        <v>19237.493592010906</v>
      </c>
      <c r="CU110" s="149">
        <f>IF($C110&gt;0,(IF($CS$7&gt;=$C110+1, (-FV(InflationRate,$CS$7,,$F110)), 0)),0)</f>
        <v>0</v>
      </c>
      <c r="CV110" s="157">
        <f>IF($C110&gt;0,(IF($CS$7&gt;=$C110+1, (-FV(InflationRate,$CS$7,,$G110)), 0)),0)</f>
        <v>18386.277061390956</v>
      </c>
      <c r="CW110" s="160">
        <f>IF($C110&gt;0,(IF($C110=$CW$7,(-FV(InflationRate,$CW$7,,$D110)),0)),0)</f>
        <v>0</v>
      </c>
      <c r="CX110" s="150">
        <f>IF($C110&gt;0,(IF($CW$7&gt;=$C110+1, (-FV(InflationRate,$CW$7,,$E110)), 0)),0)</f>
        <v>19814.618399771232</v>
      </c>
      <c r="CY110" s="150">
        <f>IF($C110&gt;0,(IF($CW$7&gt;=$C110+1, (-FV(InflationRate,$CW$7,,$F110)), 0)),0)</f>
        <v>0</v>
      </c>
      <c r="CZ110" s="176">
        <f>IF($C110&gt;0,(IF($CW$7&gt;=$C110+1, (-FV(InflationRate,$CW$7,,$G110)), 0)),0)</f>
        <v>18937.865373232682</v>
      </c>
      <c r="DA110" s="168">
        <f>IF($C110&gt;0,(IF($C110=$DA$7,(-FV(InflationRate,$DA$7,,$D110)),0)),0)</f>
        <v>0</v>
      </c>
      <c r="DB110" s="149">
        <f>IF($C110&gt;0,(IF($DA$7&gt;=$C110+1, (-FV(InflationRate,$DA$7,,$E110)), 0)),0)</f>
        <v>20409.056951764371</v>
      </c>
      <c r="DC110" s="149">
        <f>IF($C110&gt;0,(IF($DA$7&gt;=$C110+1, (-FV(InflationRate,$DA$7,,$F110)), 0)),0)</f>
        <v>0</v>
      </c>
      <c r="DD110" s="157">
        <f>IF($C110&gt;0,(IF($DA$7&gt;=$C110+1, (-FV(InflationRate,$DA$7,,$G110)), 0)),0)</f>
        <v>19506.001334429664</v>
      </c>
    </row>
    <row r="111" spans="2:108" ht="12.75" customHeight="1" x14ac:dyDescent="0.2">
      <c r="B111" s="183" t="s">
        <v>203</v>
      </c>
      <c r="C111" s="556"/>
      <c r="D111" s="168"/>
      <c r="E111" s="149"/>
      <c r="F111" s="558">
        <v>0</v>
      </c>
      <c r="G111" s="149"/>
      <c r="H111" s="168">
        <f>SUM(I111:AB111)</f>
        <v>0</v>
      </c>
      <c r="I111" s="610">
        <f>-PV(InterestRate,I$8,,(SUM(AC111:AF111)))</f>
        <v>0</v>
      </c>
      <c r="J111" s="610">
        <f>-PV(InterestRate,J$8,,(SUM(AG111:AJ111)))</f>
        <v>0</v>
      </c>
      <c r="K111" s="610">
        <f>-PV(InterestRate,K$8,,(SUM(AK111:AN111)))</f>
        <v>0</v>
      </c>
      <c r="L111" s="610">
        <f>-PV(InterestRate,L$8,,(SUM(AO111:AR111)))</f>
        <v>0</v>
      </c>
      <c r="M111" s="610">
        <f>-PV(InterestRate,M$8,,(SUM(AS111:AV111)))</f>
        <v>0</v>
      </c>
      <c r="N111" s="610">
        <f>-PV(InterestRate,N$8,,(SUM(AW111:AZ111)))</f>
        <v>0</v>
      </c>
      <c r="O111" s="610">
        <f>-PV(InterestRate,O$8,,(SUM(BA111:BD111)))</f>
        <v>0</v>
      </c>
      <c r="P111" s="610">
        <f>-PV(InterestRate,P$8,,(SUM(BE111:BH111)))</f>
        <v>0</v>
      </c>
      <c r="Q111" s="610">
        <f>-PV(InterestRate,Q$8,,(SUM(BI111:BL111)))</f>
        <v>0</v>
      </c>
      <c r="R111" s="610">
        <f>-PV(InterestRate,R$8,,(SUM(BM111:BP111)))</f>
        <v>0</v>
      </c>
      <c r="S111" s="610">
        <f>-PV(InterestRate,S$8,,(SUM(BQ111:BT111)))</f>
        <v>0</v>
      </c>
      <c r="T111" s="610">
        <f>-PV(InterestRate,T$8,,(SUM(BU111:BX111)))</f>
        <v>0</v>
      </c>
      <c r="U111" s="610">
        <f>-PV(InterestRate,U$8,,(SUM(BY111:CB111)))</f>
        <v>0</v>
      </c>
      <c r="V111" s="610">
        <f>-PV(InterestRate,V$8,,(SUM(CC111:CF111)))</f>
        <v>0</v>
      </c>
      <c r="W111" s="610">
        <f>-PV(InterestRate,W$8,,(SUM(CG111:CJ111)))</f>
        <v>0</v>
      </c>
      <c r="X111" s="610">
        <f>-PV(InterestRate,X$8,,(SUM(CK111:CN111)))</f>
        <v>0</v>
      </c>
      <c r="Y111" s="610">
        <f>-PV(InterestRate,Y$8,,(SUM(CO111:CR111)))</f>
        <v>0</v>
      </c>
      <c r="Z111" s="610">
        <f>-PV(InterestRate,Z$8,,(SUM(CS111:CV111)))</f>
        <v>0</v>
      </c>
      <c r="AA111" s="610">
        <f>-PV(InterestRate,AA$8,,(SUM(CW111:CZ111)))</f>
        <v>0</v>
      </c>
      <c r="AB111" s="611">
        <f>-PV(InterestRate,AB$8,,(SUM(DA111:DD111)))</f>
        <v>0</v>
      </c>
      <c r="AC111" s="160">
        <f>IF($C111&gt;0,(IF($C111=$AC$7,$D111,0)),0)</f>
        <v>0</v>
      </c>
      <c r="AD111" s="150">
        <f>IF($C111&gt;0,(IF($AC$7&gt;=$C111+1,$E111,0)),0)</f>
        <v>0</v>
      </c>
      <c r="AE111" s="150">
        <f>IF($C111&gt;0,(IF($C111=$AC$7,$F111,0)),0)</f>
        <v>0</v>
      </c>
      <c r="AF111" s="165">
        <f>IF($C111&gt;0,(IF($AC$7&gt;=$C111+1,$G111,0)),0)</f>
        <v>0</v>
      </c>
      <c r="AG111" s="168">
        <f>IF($C111&gt;0,(IF($C111=$AG$7,(-FV(InflationRate,$AG$7,,$D111)),0)),0)</f>
        <v>0</v>
      </c>
      <c r="AH111" s="149">
        <f>IF($C111&gt;0,(IF($AG$7&gt;=$C111+1, (-FV(InflationRate,$AG$7,,$E111)), 0)),0)</f>
        <v>0</v>
      </c>
      <c r="AI111" s="149">
        <f>IF($C111&gt;0,(IF($AG$7&gt;=$C111+1, (-FV(InflationRate,$AG$7,,$F111)), 0)),0)</f>
        <v>0</v>
      </c>
      <c r="AJ111" s="171">
        <f>IF($C111&gt;0,(IF($AG$7&gt;=$C111+1, (-FV(InflationRate,$AG$7,,$G111)), 0)),0)</f>
        <v>0</v>
      </c>
      <c r="AK111" s="160">
        <f>IF($C111&gt;0,(IF($C111=$AK$7,(-FV(InflationRate,$AK$7,,$D111)),0)),0)</f>
        <v>0</v>
      </c>
      <c r="AL111" s="150">
        <f>IF($C111&gt;0,(IF($AK$7&gt;=$C111+1, (-FV(InflationRate,$AK$7,,$E111)), 0)),0)</f>
        <v>0</v>
      </c>
      <c r="AM111" s="150">
        <f>IF($C111&gt;0,(IF($AK$7&gt;=$C111+1, (-FV(InflationRate,$AK$7,,$F111)), 0)),0)</f>
        <v>0</v>
      </c>
      <c r="AN111" s="165">
        <f>IF($C111&gt;0,(IF($AK$7&gt;=$C111+1, (-FV(InflationRate,$AK$7,,$G111)), 0)),0)</f>
        <v>0</v>
      </c>
      <c r="AO111" s="168">
        <f>IF($C111&gt;0,(IF($C111=$AO$7,(-FV(InflationRate,$AO$7,,$D111)),0)),0)</f>
        <v>0</v>
      </c>
      <c r="AP111" s="149">
        <f>IF($C111&gt;0,(IF($AO$7&gt;=$C111+1, (-FV(InflationRate,$AO$7,,$E111)), 0)),0)</f>
        <v>0</v>
      </c>
      <c r="AQ111" s="149">
        <f>IF($C111&gt;0,(IF($AO$7&gt;=$C111+1, (-FV(InflationRate,$AO$7,,$F111)), 0)),0)</f>
        <v>0</v>
      </c>
      <c r="AR111" s="157">
        <f>IF($C111&gt;0,(IF($AO$7&gt;=$C111+1, (-FV(InflationRate,$AO$7,,$G111)), 0)),0)</f>
        <v>0</v>
      </c>
      <c r="AS111" s="160">
        <f>IF($C111&gt;0,(IF($C111=$AS$7,(-FV(InflationRate,$AS$7,,$D111)),0)),0)</f>
        <v>0</v>
      </c>
      <c r="AT111" s="150">
        <f>IF($C111&gt;0,(IF($AS$7&gt;=$C111+1, (-FV(InflationRate,$AS$7,,$E111)), 0)),0)</f>
        <v>0</v>
      </c>
      <c r="AU111" s="150">
        <f>IF($C111&gt;0,(IF($AS$7&gt;=$C111+1, (-FV(InflationRate,$AS$7,,$F111)), 0)),0)</f>
        <v>0</v>
      </c>
      <c r="AV111" s="165">
        <f>IF($C111&gt;0,(IF($AS$7&gt;=$C111+1, (-FV(InflationRate,$AS$7,,$G111)), 0)),0)</f>
        <v>0</v>
      </c>
      <c r="AW111" s="168">
        <f>IF($C111&gt;0,(IF($C111=$AW$7,(-FV(InflationRate,$AW$7,,$D111)),0)),0)</f>
        <v>0</v>
      </c>
      <c r="AX111" s="149">
        <f>IF($C111&gt;0,(IF($AW$7&gt;=$C111+1, (-FV(InflationRate,$AW$7,,$E111)), 0)),0)</f>
        <v>0</v>
      </c>
      <c r="AY111" s="149">
        <f>IF($C111&gt;0,(IF($AW$7&gt;=$C111+1, (-FV(InflationRate,$AW$7,,$F111)), 0)),0)</f>
        <v>0</v>
      </c>
      <c r="AZ111" s="157">
        <f>IF($C111&gt;0,(IF($AW$7&gt;=$C111+1, (-FV(InflationRate,$AW$7,,$G111)), 0)),0)</f>
        <v>0</v>
      </c>
      <c r="BA111" s="160">
        <f>IF($C111&gt;0,(IF($C111=$BA$7,(-FV(InflationRate,$BA$7,,$D111)),0)),0)</f>
        <v>0</v>
      </c>
      <c r="BB111" s="150">
        <f>IF($C111&gt;0,(IF($BA$7&gt;=$C111+1, (-FV(InflationRate,$BA$7,,$E111)), 0)),0)</f>
        <v>0</v>
      </c>
      <c r="BC111" s="150">
        <f>IF($C111&gt;0,(IF($BA$7&gt;=$C111+1, (-FV(InflationRate,$BA$7,,$F111)), 0)),0)</f>
        <v>0</v>
      </c>
      <c r="BD111" s="176">
        <f>IF($C111&gt;0,(IF($BA$7&gt;=$C111+1, (-FV(InflationRate,$BA$7,,$G111)), 0)),0)</f>
        <v>0</v>
      </c>
      <c r="BE111" s="168">
        <f>IF($C111&gt;0,(IF($C111=$BE$7,(-FV(InflationRate,$BE$7,,$D111)),0)),0)</f>
        <v>0</v>
      </c>
      <c r="BF111" s="149">
        <f>IF($C111&gt;0,(IF($BE$7&gt;=$C111+1, (-FV(InflationRate,$BE$7,,$E111)), 0)),0)</f>
        <v>0</v>
      </c>
      <c r="BG111" s="149">
        <f>IF($C111&gt;0,(IF($BE$7&gt;=$C111+1, (-FV(InflationRate,$BE$7,,$F111)), 0)),0)</f>
        <v>0</v>
      </c>
      <c r="BH111" s="171">
        <f>IF($C111&gt;0,(IF($BE$7&gt;=$C111+1, (-FV(InflationRate,$BE$7,,$G111)), 0)),0)</f>
        <v>0</v>
      </c>
      <c r="BI111" s="160">
        <f>IF($C111&gt;0,(IF($C111=$BI$7,(-FV(InflationRate,$BI$7,,$D111)),0)),0)</f>
        <v>0</v>
      </c>
      <c r="BJ111" s="150">
        <f>IF($C111&gt;0,(IF($BI$7&gt;=$C111+1, (-FV(InflationRate,$BI$7,,$E111)), 0)),0)</f>
        <v>0</v>
      </c>
      <c r="BK111" s="150">
        <f>IF($C111&gt;0,(IF($BI$7&gt;=$C111+1, (-FV(InflationRate,$BI$7,,$F111)), 0)),0)</f>
        <v>0</v>
      </c>
      <c r="BL111" s="176">
        <f>IF($C111&gt;0,(IF($BI$7&gt;=$C111+1, (-FV(InflationRate,$BI$7,,$G111)), 0)),0)</f>
        <v>0</v>
      </c>
      <c r="BM111" s="168">
        <f>IF($C111&gt;0,(IF($C111=$BM$7,(-FV(InflationRate,$BM$7,,$D111)),0)),0)</f>
        <v>0</v>
      </c>
      <c r="BN111" s="149">
        <f>IF($C111&gt;0,(IF($BM$7&gt;=$C111+1, (-FV(InflationRate,$BM$7,,$E111)), 0)),0)</f>
        <v>0</v>
      </c>
      <c r="BO111" s="149">
        <f>IF($C111&gt;0,(IF($BM$7&gt;=$C111+1, (-FV(InflationRate,$BM$7,,$F111)), 0)),0)</f>
        <v>0</v>
      </c>
      <c r="BP111" s="157">
        <f>IF($C111&gt;0,(IF($BM$7&gt;=$C111+1, (-FV(InflationRate,$BM$7,,$G111)), 0)),0)</f>
        <v>0</v>
      </c>
      <c r="BQ111" s="160">
        <f>IF($C111&gt;0,(IF($C111=$BQ$7,(-FV(InflationRate,$BQ$7,,$D111)),0)),0)</f>
        <v>0</v>
      </c>
      <c r="BR111" s="150">
        <f>IF($C111&gt;0,(IF($BQ$7&gt;=$C111+1, (-FV(InflationRate,$BQ$7,,$E111)), 0)),0)</f>
        <v>0</v>
      </c>
      <c r="BS111" s="150">
        <f>IF($C111&gt;0,(IF($BQ$7&gt;=$C111+1, (-FV(InflationRate,$BQ$7,,$F111)), 0)),0)</f>
        <v>0</v>
      </c>
      <c r="BT111" s="176">
        <f>IF($C111&gt;0,(IF($BQ$7&gt;=$C111+1, (-FV(InflationRate,$BQ$7,,$G111)), 0)),0)</f>
        <v>0</v>
      </c>
      <c r="BU111" s="168">
        <f>IF($C111&gt;0,(IF($C111=$BU$7,(-FV(InflationRate,$BU$7,,$D111)),0)),0)</f>
        <v>0</v>
      </c>
      <c r="BV111" s="149">
        <f>IF($C111&gt;0,(IF($BU$7&gt;=$C111+1, (-FV(InflationRate,$BU$7,,$E111)), 0)),0)</f>
        <v>0</v>
      </c>
      <c r="BW111" s="149">
        <f>IF($C111&gt;0,(IF($BU$7&gt;=$C111+1, (-FV(InflationRate,$BU$7,,$F111)), 0)),0)</f>
        <v>0</v>
      </c>
      <c r="BX111" s="157">
        <f>IF($C111&gt;0,(IF($BU$7&gt;=$C111+1, (-FV(InflationRate,$BU$7,,$G111)), 0)),0)</f>
        <v>0</v>
      </c>
      <c r="BY111" s="160">
        <f>IF($C111&gt;0,(IF($C111=$BY$7,(-FV(InflationRate,$BY$7,,$D111)),0)),0)</f>
        <v>0</v>
      </c>
      <c r="BZ111" s="150">
        <f>IF($C111&gt;0,(IF($BY$7&gt;=$C111+1, (-FV(InflationRate,$BY$7,,$E111)), 0)),0)</f>
        <v>0</v>
      </c>
      <c r="CA111" s="150">
        <f>IF($C111&gt;0,(IF($BY$7&gt;=$C111+1, (-FV(InflationRate,$BY$7,,$F111)), 0)),0)</f>
        <v>0</v>
      </c>
      <c r="CB111" s="176">
        <f>IF($C111&gt;0,(IF($BY$7&gt;=$C111+1, (-FV(InflationRate,$BY$7,,$G111)), 0)),0)</f>
        <v>0</v>
      </c>
      <c r="CC111" s="168">
        <f>IF($C111&gt;0,(IF($C111=$CC$7,(-FV(InflationRate,$CC$7,,$D111)),0)),0)</f>
        <v>0</v>
      </c>
      <c r="CD111" s="149">
        <f>IF($C111&gt;0,(IF($CC$7&gt;=$C111+1, (-FV(InflationRate,$CC$7,,$E111)), 0)),0)</f>
        <v>0</v>
      </c>
      <c r="CE111" s="149">
        <f>IF($C111&gt;0,(IF($CC$7&gt;=$C111+1, (-FV(InflationRate,$CC$7,,$F111)), 0)),0)</f>
        <v>0</v>
      </c>
      <c r="CF111" s="157">
        <f>IF($C111&gt;0,(IF($CC$7&gt;=$C111+1, (-FV(InflationRate,$CC$7,,$G111)), 0)),0)</f>
        <v>0</v>
      </c>
      <c r="CG111" s="160">
        <f>IF($C111&gt;0,(IF($C111=$CG$7,(-FV(InflationRate,$CG$7,,$D111)),0)),0)</f>
        <v>0</v>
      </c>
      <c r="CH111" s="150">
        <f>IF($C111&gt;0,(IF($CG$7&gt;=$C111+1, (-FV(InflationRate,$CG$7,,$E111)), 0)),0)</f>
        <v>0</v>
      </c>
      <c r="CI111" s="150">
        <f>IF($C111&gt;0,(IF($CG$7&gt;=$C111+1, (-FV(InflationRate,$CG$7,,$F111)), 0)),0)</f>
        <v>0</v>
      </c>
      <c r="CJ111" s="176">
        <f>IF($C111&gt;0,(IF($CG$7&gt;=$C111+1, (-FV(InflationRate,$CG$7,,$G111)), 0)),0)</f>
        <v>0</v>
      </c>
      <c r="CK111" s="168">
        <f>IF($C111&gt;0,(IF($C111=$CK$7,(-FV(InflationRate,$CK$7,,$D111)),0)),0)</f>
        <v>0</v>
      </c>
      <c r="CL111" s="149">
        <f>IF($C111&gt;0,(IF($CK$7&gt;=$C111+1, (-FV(InflationRate,$CK$7,,$E111)), 0)),0)</f>
        <v>0</v>
      </c>
      <c r="CM111" s="149">
        <f>IF($C111&gt;0,(IF($CK$7&gt;=$C111+1, (-FV(InflationRate,$CK$7,,$F111)), 0)),0)</f>
        <v>0</v>
      </c>
      <c r="CN111" s="157">
        <f>IF($C111&gt;0,(IF($CK$7&gt;=$C111+1, (-FV(InflationRate,$CK$7,,$G111)), 0)),0)</f>
        <v>0</v>
      </c>
      <c r="CO111" s="160">
        <f>IF($C111&gt;0,(IF($C111=$CO$7,(-FV(InflationRate,$CO$7,,$D111)),0)),0)</f>
        <v>0</v>
      </c>
      <c r="CP111" s="150">
        <f>IF($C111&gt;0,(IF($CO$7&gt;=$C111+1, (-FV(InflationRate,$CO$7,,$E111)), 0)),0)</f>
        <v>0</v>
      </c>
      <c r="CQ111" s="150">
        <f>IF($C111&gt;0,(IF($CO$7&gt;=$C111+1, (-FV(InflationRate,$CO$7,,$F111)), 0)),0)</f>
        <v>0</v>
      </c>
      <c r="CR111" s="176">
        <f>IF($C111&gt;0,(IF($CO$7&gt;=$C111+1, (-FV(InflationRate,$CO$7,,$G111)), 0)),0)</f>
        <v>0</v>
      </c>
      <c r="CS111" s="168">
        <f>IF($C111&gt;0,(IF($C111=$CS$7,(-FV(InflationRate,$CS$7,,$D111)),0)),0)</f>
        <v>0</v>
      </c>
      <c r="CT111" s="149">
        <f>IF($C111&gt;0,(IF($CS$7&gt;=$C111+1, (-FV(InflationRate,$CS$7,,$E111)), 0)),0)</f>
        <v>0</v>
      </c>
      <c r="CU111" s="149">
        <f>IF($C111&gt;0,(IF($CS$7&gt;=$C111+1, (-FV(InflationRate,$CS$7,,$F111)), 0)),0)</f>
        <v>0</v>
      </c>
      <c r="CV111" s="157">
        <f>IF($C111&gt;0,(IF($CS$7&gt;=$C111+1, (-FV(InflationRate,$CS$7,,$G111)), 0)),0)</f>
        <v>0</v>
      </c>
      <c r="CW111" s="160">
        <f>IF($C111&gt;0,(IF($C111=$CW$7,(-FV(InflationRate,$CW$7,,$D111)),0)),0)</f>
        <v>0</v>
      </c>
      <c r="CX111" s="150">
        <f>IF($C111&gt;0,(IF($CW$7&gt;=$C111+1, (-FV(InflationRate,$CW$7,,$E111)), 0)),0)</f>
        <v>0</v>
      </c>
      <c r="CY111" s="150">
        <f>IF($C111&gt;0,(IF($CW$7&gt;=$C111+1, (-FV(InflationRate,$CW$7,,$F111)), 0)),0)</f>
        <v>0</v>
      </c>
      <c r="CZ111" s="176">
        <f>IF($C111&gt;0,(IF($CW$7&gt;=$C111+1, (-FV(InflationRate,$CW$7,,$G111)), 0)),0)</f>
        <v>0</v>
      </c>
      <c r="DA111" s="168">
        <f>IF($C111&gt;0,(IF($C111=$DA$7,(-FV(InflationRate,$DA$7,,$D111)),0)),0)</f>
        <v>0</v>
      </c>
      <c r="DB111" s="149">
        <f>IF($C111&gt;0,(IF($DA$7&gt;=$C111+1, (-FV(InflationRate,$DA$7,,$E111)), 0)),0)</f>
        <v>0</v>
      </c>
      <c r="DC111" s="149">
        <f>IF($C111&gt;0,(IF($DA$7&gt;=$C111+1, (-FV(InflationRate,$DA$7,,$F111)), 0)),0)</f>
        <v>0</v>
      </c>
      <c r="DD111" s="157">
        <f>IF($C111&gt;0,(IF($DA$7&gt;=$C111+1, (-FV(InflationRate,$DA$7,,$G111)), 0)),0)</f>
        <v>0</v>
      </c>
    </row>
    <row r="112" spans="2:108" ht="12.75" hidden="1" customHeight="1" x14ac:dyDescent="0.2">
      <c r="B112" s="182" t="s">
        <v>217</v>
      </c>
      <c r="C112" s="189"/>
      <c r="D112" s="168"/>
      <c r="E112" s="149"/>
      <c r="F112" s="149"/>
      <c r="G112" s="149"/>
      <c r="H112" s="168"/>
      <c r="I112" s="600"/>
      <c r="J112" s="600"/>
      <c r="K112" s="600"/>
      <c r="L112" s="600"/>
      <c r="M112" s="600"/>
      <c r="N112" s="600"/>
      <c r="O112" s="600"/>
      <c r="P112" s="600"/>
      <c r="Q112" s="600"/>
      <c r="R112" s="600"/>
      <c r="S112" s="600"/>
      <c r="T112" s="600"/>
      <c r="U112" s="600"/>
      <c r="V112" s="600"/>
      <c r="W112" s="600"/>
      <c r="X112" s="600"/>
      <c r="Y112" s="600"/>
      <c r="Z112" s="600"/>
      <c r="AA112" s="600"/>
      <c r="AB112" s="601"/>
      <c r="AC112" s="160"/>
      <c r="AD112" s="150"/>
      <c r="AE112" s="150"/>
      <c r="AF112" s="165"/>
      <c r="AG112" s="168"/>
      <c r="AH112" s="149"/>
      <c r="AI112" s="149"/>
      <c r="AJ112" s="171"/>
      <c r="AK112" s="160"/>
      <c r="AL112" s="150"/>
      <c r="AM112" s="150"/>
      <c r="AN112" s="165"/>
      <c r="AO112" s="168"/>
      <c r="AP112" s="149"/>
      <c r="AQ112" s="149"/>
      <c r="AR112" s="157"/>
      <c r="AS112" s="160"/>
      <c r="AT112" s="150"/>
      <c r="AU112" s="150"/>
      <c r="AV112" s="165"/>
      <c r="AW112" s="168"/>
      <c r="AX112" s="149"/>
      <c r="AY112" s="149"/>
      <c r="AZ112" s="157"/>
      <c r="BA112" s="160"/>
      <c r="BB112" s="150"/>
      <c r="BC112" s="150"/>
      <c r="BD112" s="176"/>
      <c r="BE112" s="168"/>
      <c r="BF112" s="149"/>
      <c r="BG112" s="149"/>
      <c r="BH112" s="171"/>
      <c r="BI112" s="160"/>
      <c r="BJ112" s="150"/>
      <c r="BK112" s="150"/>
      <c r="BL112" s="176"/>
      <c r="BM112" s="168"/>
      <c r="BN112" s="149"/>
      <c r="BO112" s="149"/>
      <c r="BP112" s="157"/>
      <c r="BQ112" s="160"/>
      <c r="BR112" s="150"/>
      <c r="BS112" s="150"/>
      <c r="BT112" s="176"/>
      <c r="BU112" s="168"/>
      <c r="BV112" s="149"/>
      <c r="BW112" s="149"/>
      <c r="BX112" s="157"/>
      <c r="BY112" s="160"/>
      <c r="BZ112" s="150"/>
      <c r="CA112" s="150"/>
      <c r="CB112" s="176"/>
      <c r="CC112" s="168"/>
      <c r="CD112" s="149"/>
      <c r="CE112" s="149"/>
      <c r="CF112" s="157"/>
      <c r="CG112" s="160"/>
      <c r="CH112" s="150"/>
      <c r="CI112" s="150"/>
      <c r="CJ112" s="176"/>
      <c r="CK112" s="168"/>
      <c r="CL112" s="149"/>
      <c r="CM112" s="149"/>
      <c r="CN112" s="157"/>
      <c r="CO112" s="160"/>
      <c r="CP112" s="150"/>
      <c r="CQ112" s="150"/>
      <c r="CR112" s="176"/>
      <c r="CS112" s="168"/>
      <c r="CT112" s="149"/>
      <c r="CU112" s="149"/>
      <c r="CV112" s="157"/>
      <c r="CW112" s="160"/>
      <c r="CX112" s="150"/>
      <c r="CY112" s="150"/>
      <c r="CZ112" s="176"/>
      <c r="DA112" s="168"/>
      <c r="DB112" s="149"/>
      <c r="DC112" s="149"/>
      <c r="DD112" s="157"/>
    </row>
    <row r="113" spans="2:108" ht="12.75" hidden="1" customHeight="1" x14ac:dyDescent="0.2">
      <c r="B113" s="183" t="s">
        <v>220</v>
      </c>
      <c r="C113" s="556"/>
      <c r="D113" s="557">
        <v>0</v>
      </c>
      <c r="E113" s="149"/>
      <c r="F113" s="149"/>
      <c r="G113" s="149"/>
      <c r="H113" s="168">
        <f>SUM(I113:AB113)</f>
        <v>0</v>
      </c>
      <c r="I113" s="610">
        <f>-PV(InterestRate,I$8,,(SUM(AC113:AF113)))</f>
        <v>0</v>
      </c>
      <c r="J113" s="610">
        <f>-PV(InterestRate,J$8,,(SUM(AG113:AJ113)))</f>
        <v>0</v>
      </c>
      <c r="K113" s="610">
        <f>-PV(InterestRate,K$8,,(SUM(AK113:AN113)))</f>
        <v>0</v>
      </c>
      <c r="L113" s="610">
        <f>-PV(InterestRate,L$8,,(SUM(AO113:AR113)))</f>
        <v>0</v>
      </c>
      <c r="M113" s="610">
        <f>-PV(InterestRate,M$8,,(SUM(AS113:AV113)))</f>
        <v>0</v>
      </c>
      <c r="N113" s="610">
        <f>-PV(InterestRate,N$8,,(SUM(AW113:AZ113)))</f>
        <v>0</v>
      </c>
      <c r="O113" s="610">
        <f>-PV(InterestRate,O$8,,(SUM(BA113:BD113)))</f>
        <v>0</v>
      </c>
      <c r="P113" s="610">
        <f>-PV(InterestRate,P$8,,(SUM(BE113:BH113)))</f>
        <v>0</v>
      </c>
      <c r="Q113" s="610">
        <f>-PV(InterestRate,Q$8,,(SUM(BI113:BL113)))</f>
        <v>0</v>
      </c>
      <c r="R113" s="610">
        <f>-PV(InterestRate,R$8,,(SUM(BM113:BP113)))</f>
        <v>0</v>
      </c>
      <c r="S113" s="610">
        <f>-PV(InterestRate,S$8,,(SUM(BQ113:BT113)))</f>
        <v>0</v>
      </c>
      <c r="T113" s="610">
        <f>-PV(InterestRate,T$8,,(SUM(BU113:BX113)))</f>
        <v>0</v>
      </c>
      <c r="U113" s="610">
        <f>-PV(InterestRate,U$8,,(SUM(BY113:CB113)))</f>
        <v>0</v>
      </c>
      <c r="V113" s="610">
        <f>-PV(InterestRate,V$8,,(SUM(CC113:CF113)))</f>
        <v>0</v>
      </c>
      <c r="W113" s="610">
        <f>-PV(InterestRate,W$8,,(SUM(CG113:CJ113)))</f>
        <v>0</v>
      </c>
      <c r="X113" s="610">
        <f>-PV(InterestRate,X$8,,(SUM(CK113:CN113)))</f>
        <v>0</v>
      </c>
      <c r="Y113" s="610">
        <f>-PV(InterestRate,Y$8,,(SUM(CO113:CR113)))</f>
        <v>0</v>
      </c>
      <c r="Z113" s="610">
        <f>-PV(InterestRate,Z$8,,(SUM(CS113:CV113)))</f>
        <v>0</v>
      </c>
      <c r="AA113" s="610">
        <f>-PV(InterestRate,AA$8,,(SUM(CW113:CZ113)))</f>
        <v>0</v>
      </c>
      <c r="AB113" s="611">
        <f>-PV(InterestRate,AB$8,,(SUM(DA113:DD113)))</f>
        <v>0</v>
      </c>
      <c r="AC113" s="160">
        <f>IF($C113&gt;0,(IF($C113=$AC$7,$D113,0)),0)</f>
        <v>0</v>
      </c>
      <c r="AD113" s="150">
        <f>IF($C113&gt;0,(IF($AC$7&gt;=$C113+1,$E113,0)),0)</f>
        <v>0</v>
      </c>
      <c r="AE113" s="150">
        <f>IF($C113&gt;0,(IF($C113=$AC$7,$F113,0)),0)</f>
        <v>0</v>
      </c>
      <c r="AF113" s="165">
        <f>IF($C113&gt;0,(IF($AC$7&gt;=$C113+1,$G113,0)),0)</f>
        <v>0</v>
      </c>
      <c r="AG113" s="168">
        <f>IF($C113&gt;0,(IF($C113=$AG$7,(-FV(InflationRate,$AG$7,,$D113)),0)),0)</f>
        <v>0</v>
      </c>
      <c r="AH113" s="149">
        <f>IF($C113&gt;0,(IF($AG$7&gt;=$C113+1, (-FV(InflationRate,$AG$7,,$E113)), 0)),0)</f>
        <v>0</v>
      </c>
      <c r="AI113" s="149">
        <f>IF($C113&gt;0,(IF($AG$7&gt;=$C113+1, (-FV(InflationRate,$AG$7,,$F113)), 0)),0)</f>
        <v>0</v>
      </c>
      <c r="AJ113" s="171">
        <f>IF($C113&gt;0,(IF($AG$7&gt;=$C113+1, (-FV(InflationRate,$AG$7,,$G113)), 0)),0)</f>
        <v>0</v>
      </c>
      <c r="AK113" s="160">
        <f>IF($C113&gt;0,(IF($C113=$AK$7,(-FV(InflationRate,$AK$7,,$D113)),0)),0)</f>
        <v>0</v>
      </c>
      <c r="AL113" s="150">
        <f>IF($C113&gt;0,(IF($AK$7&gt;=$C113+1, (-FV(InflationRate,$AK$7,,$E113)), 0)),0)</f>
        <v>0</v>
      </c>
      <c r="AM113" s="150">
        <f>IF($C113&gt;0,(IF($AK$7&gt;=$C113+1, (-FV(InflationRate,$AK$7,,$F113)), 0)),0)</f>
        <v>0</v>
      </c>
      <c r="AN113" s="165">
        <f>IF($C113&gt;0,(IF($AK$7&gt;=$C113+1, (-FV(InflationRate,$AK$7,,$G113)), 0)),0)</f>
        <v>0</v>
      </c>
      <c r="AO113" s="168">
        <f>IF($C113&gt;0,(IF($C113=$AO$7,(-FV(InflationRate,$AO$7,,$D113)),0)),0)</f>
        <v>0</v>
      </c>
      <c r="AP113" s="149">
        <f>IF($C113&gt;0,(IF($AO$7&gt;=$C113+1, (-FV(InflationRate,$AO$7,,$E113)), 0)),0)</f>
        <v>0</v>
      </c>
      <c r="AQ113" s="149">
        <f>IF($C113&gt;0,(IF($AO$7&gt;=$C113+1, (-FV(InflationRate,$AO$7,,$F113)), 0)),0)</f>
        <v>0</v>
      </c>
      <c r="AR113" s="157">
        <f>IF($C113&gt;0,(IF($AO$7&gt;=$C113+1, (-FV(InflationRate,$AO$7,,$G113)), 0)),0)</f>
        <v>0</v>
      </c>
      <c r="AS113" s="160">
        <f>IF($C113&gt;0,(IF($C113=$AS$7,(-FV(InflationRate,$AS$7,,$D113)),0)),0)</f>
        <v>0</v>
      </c>
      <c r="AT113" s="150">
        <f>IF($C113&gt;0,(IF($AS$7&gt;=$C113+1, (-FV(InflationRate,$AS$7,,$E113)), 0)),0)</f>
        <v>0</v>
      </c>
      <c r="AU113" s="150">
        <f>IF($C113&gt;0,(IF($AS$7&gt;=$C113+1, (-FV(InflationRate,$AS$7,,$F113)), 0)),0)</f>
        <v>0</v>
      </c>
      <c r="AV113" s="165">
        <f>IF($C113&gt;0,(IF($AS$7&gt;=$C113+1, (-FV(InflationRate,$AS$7,,$G113)), 0)),0)</f>
        <v>0</v>
      </c>
      <c r="AW113" s="168">
        <f>IF($C113&gt;0,(IF($C113=$AW$7,(-FV(InflationRate,$AW$7,,$D113)),0)),0)</f>
        <v>0</v>
      </c>
      <c r="AX113" s="149">
        <f>IF($C113&gt;0,(IF($AW$7&gt;=$C113+1, (-FV(InflationRate,$AW$7,,$E113)), 0)),0)</f>
        <v>0</v>
      </c>
      <c r="AY113" s="149">
        <f>IF($C113&gt;0,(IF($AW$7&gt;=$C113+1, (-FV(InflationRate,$AW$7,,$F113)), 0)),0)</f>
        <v>0</v>
      </c>
      <c r="AZ113" s="157">
        <f>IF($C113&gt;0,(IF($AW$7&gt;=$C113+1, (-FV(InflationRate,$AW$7,,$G113)), 0)),0)</f>
        <v>0</v>
      </c>
      <c r="BA113" s="160">
        <f>IF($C113&gt;0,(IF($C113=$BA$7,(-FV(InflationRate,$BA$7,,$D113)),0)),0)</f>
        <v>0</v>
      </c>
      <c r="BB113" s="150">
        <f>IF($C113&gt;0,(IF($BA$7&gt;=$C113+1, (-FV(InflationRate,$BA$7,,$E113)), 0)),0)</f>
        <v>0</v>
      </c>
      <c r="BC113" s="150">
        <f>IF($C113&gt;0,(IF($BA$7&gt;=$C113+1, (-FV(InflationRate,$BA$7,,$F113)), 0)),0)</f>
        <v>0</v>
      </c>
      <c r="BD113" s="176">
        <f>IF($C113&gt;0,(IF($BA$7&gt;=$C113+1, (-FV(InflationRate,$BA$7,,$G113)), 0)),0)</f>
        <v>0</v>
      </c>
      <c r="BE113" s="168">
        <f>IF($C113&gt;0,(IF($C113=$BE$7,(-FV(InflationRate,$BE$7,,$D113)),0)),0)</f>
        <v>0</v>
      </c>
      <c r="BF113" s="149">
        <f>IF($C113&gt;0,(IF($BE$7&gt;=$C113+1, (-FV(InflationRate,$BE$7,,$E113)), 0)),0)</f>
        <v>0</v>
      </c>
      <c r="BG113" s="149">
        <f>IF($C113&gt;0,(IF($BE$7&gt;=$C113+1, (-FV(InflationRate,$BE$7,,$F113)), 0)),0)</f>
        <v>0</v>
      </c>
      <c r="BH113" s="171">
        <f>IF($C113&gt;0,(IF($BE$7&gt;=$C113+1, (-FV(InflationRate,$BE$7,,$G113)), 0)),0)</f>
        <v>0</v>
      </c>
      <c r="BI113" s="160">
        <f>IF($C113&gt;0,(IF($C113=$BI$7,(-FV(InflationRate,$BI$7,,$D113)),0)),0)</f>
        <v>0</v>
      </c>
      <c r="BJ113" s="150">
        <f>IF($C113&gt;0,(IF($BI$7&gt;=$C113+1, (-FV(InflationRate,$BI$7,,$E113)), 0)),0)</f>
        <v>0</v>
      </c>
      <c r="BK113" s="150">
        <f>IF($C113&gt;0,(IF($BI$7&gt;=$C113+1, (-FV(InflationRate,$BI$7,,$F113)), 0)),0)</f>
        <v>0</v>
      </c>
      <c r="BL113" s="176">
        <f>IF($C113&gt;0,(IF($BI$7&gt;=$C113+1, (-FV(InflationRate,$BI$7,,$G113)), 0)),0)</f>
        <v>0</v>
      </c>
      <c r="BM113" s="168">
        <f>IF($C113&gt;0,(IF($C113=$BM$7,(-FV(InflationRate,$BM$7,,$D113)),0)),0)</f>
        <v>0</v>
      </c>
      <c r="BN113" s="149">
        <f>IF($C113&gt;0,(IF($BM$7&gt;=$C113+1, (-FV(InflationRate,$BM$7,,$E113)), 0)),0)</f>
        <v>0</v>
      </c>
      <c r="BO113" s="149">
        <f>IF($C113&gt;0,(IF($BM$7&gt;=$C113+1, (-FV(InflationRate,$BM$7,,$F113)), 0)),0)</f>
        <v>0</v>
      </c>
      <c r="BP113" s="157">
        <f>IF($C113&gt;0,(IF($BM$7&gt;=$C113+1, (-FV(InflationRate,$BM$7,,$G113)), 0)),0)</f>
        <v>0</v>
      </c>
      <c r="BQ113" s="160">
        <f>IF($C113&gt;0,(IF($C113=$BQ$7,(-FV(InflationRate,$BQ$7,,$D113)),0)),0)</f>
        <v>0</v>
      </c>
      <c r="BR113" s="150">
        <f>IF($C113&gt;0,(IF($BQ$7&gt;=$C113+1, (-FV(InflationRate,$BQ$7,,$E113)), 0)),0)</f>
        <v>0</v>
      </c>
      <c r="BS113" s="150">
        <f>IF($C113&gt;0,(IF($BQ$7&gt;=$C113+1, (-FV(InflationRate,$BQ$7,,$F113)), 0)),0)</f>
        <v>0</v>
      </c>
      <c r="BT113" s="176">
        <f>IF($C113&gt;0,(IF($BQ$7&gt;=$C113+1, (-FV(InflationRate,$BQ$7,,$G113)), 0)),0)</f>
        <v>0</v>
      </c>
      <c r="BU113" s="168">
        <f>IF($C113&gt;0,(IF($C113=$BU$7,(-FV(InflationRate,$BU$7,,$D113)),0)),0)</f>
        <v>0</v>
      </c>
      <c r="BV113" s="149">
        <f>IF($C113&gt;0,(IF($BU$7&gt;=$C113+1, (-FV(InflationRate,$BU$7,,$E113)), 0)),0)</f>
        <v>0</v>
      </c>
      <c r="BW113" s="149">
        <f>IF($C113&gt;0,(IF($BU$7&gt;=$C113+1, (-FV(InflationRate,$BU$7,,$F113)), 0)),0)</f>
        <v>0</v>
      </c>
      <c r="BX113" s="157">
        <f>IF($C113&gt;0,(IF($BU$7&gt;=$C113+1, (-FV(InflationRate,$BU$7,,$G113)), 0)),0)</f>
        <v>0</v>
      </c>
      <c r="BY113" s="160">
        <f>IF($C113&gt;0,(IF($C113=$BY$7,(-FV(InflationRate,$BY$7,,$D113)),0)),0)</f>
        <v>0</v>
      </c>
      <c r="BZ113" s="150">
        <f>IF($C113&gt;0,(IF($BY$7&gt;=$C113+1, (-FV(InflationRate,$BY$7,,$E113)), 0)),0)</f>
        <v>0</v>
      </c>
      <c r="CA113" s="150">
        <f>IF($C113&gt;0,(IF($BY$7&gt;=$C113+1, (-FV(InflationRate,$BY$7,,$F113)), 0)),0)</f>
        <v>0</v>
      </c>
      <c r="CB113" s="176">
        <f>IF($C113&gt;0,(IF($BY$7&gt;=$C113+1, (-FV(InflationRate,$BY$7,,$G113)), 0)),0)</f>
        <v>0</v>
      </c>
      <c r="CC113" s="168">
        <f>IF($C113&gt;0,(IF($C113=$CC$7,(-FV(InflationRate,$CC$7,,$D113)),0)),0)</f>
        <v>0</v>
      </c>
      <c r="CD113" s="149">
        <f>IF($C113&gt;0,(IF($CC$7&gt;=$C113+1, (-FV(InflationRate,$CC$7,,$E113)), 0)),0)</f>
        <v>0</v>
      </c>
      <c r="CE113" s="149">
        <f>IF($C113&gt;0,(IF($CC$7&gt;=$C113+1, (-FV(InflationRate,$CC$7,,$F113)), 0)),0)</f>
        <v>0</v>
      </c>
      <c r="CF113" s="157">
        <f>IF($C113&gt;0,(IF($CC$7&gt;=$C113+1, (-FV(InflationRate,$CC$7,,$G113)), 0)),0)</f>
        <v>0</v>
      </c>
      <c r="CG113" s="160">
        <f>IF($C113&gt;0,(IF($C113=$CG$7,(-FV(InflationRate,$CG$7,,$D113)),0)),0)</f>
        <v>0</v>
      </c>
      <c r="CH113" s="150">
        <f>IF($C113&gt;0,(IF($CG$7&gt;=$C113+1, (-FV(InflationRate,$CG$7,,$E113)), 0)),0)</f>
        <v>0</v>
      </c>
      <c r="CI113" s="150">
        <f>IF($C113&gt;0,(IF($CG$7&gt;=$C113+1, (-FV(InflationRate,$CG$7,,$F113)), 0)),0)</f>
        <v>0</v>
      </c>
      <c r="CJ113" s="176">
        <f>IF($C113&gt;0,(IF($CG$7&gt;=$C113+1, (-FV(InflationRate,$CG$7,,$G113)), 0)),0)</f>
        <v>0</v>
      </c>
      <c r="CK113" s="168">
        <f>IF($C113&gt;0,(IF($C113=$CK$7,(-FV(InflationRate,$CK$7,,$D113)),0)),0)</f>
        <v>0</v>
      </c>
      <c r="CL113" s="149">
        <f>IF($C113&gt;0,(IF($CK$7&gt;=$C113+1, (-FV(InflationRate,$CK$7,,$E113)), 0)),0)</f>
        <v>0</v>
      </c>
      <c r="CM113" s="149">
        <f>IF($C113&gt;0,(IF($CK$7&gt;=$C113+1, (-FV(InflationRate,$CK$7,,$F113)), 0)),0)</f>
        <v>0</v>
      </c>
      <c r="CN113" s="157">
        <f>IF($C113&gt;0,(IF($CK$7&gt;=$C113+1, (-FV(InflationRate,$CK$7,,$G113)), 0)),0)</f>
        <v>0</v>
      </c>
      <c r="CO113" s="160">
        <f>IF($C113&gt;0,(IF($C113=$CO$7,(-FV(InflationRate,$CO$7,,$D113)),0)),0)</f>
        <v>0</v>
      </c>
      <c r="CP113" s="150">
        <f>IF($C113&gt;0,(IF($CO$7&gt;=$C113+1, (-FV(InflationRate,$CO$7,,$E113)), 0)),0)</f>
        <v>0</v>
      </c>
      <c r="CQ113" s="150">
        <f>IF($C113&gt;0,(IF($CO$7&gt;=$C113+1, (-FV(InflationRate,$CO$7,,$F113)), 0)),0)</f>
        <v>0</v>
      </c>
      <c r="CR113" s="176">
        <f>IF($C113&gt;0,(IF($CO$7&gt;=$C113+1, (-FV(InflationRate,$CO$7,,$G113)), 0)),0)</f>
        <v>0</v>
      </c>
      <c r="CS113" s="168">
        <f>IF($C113&gt;0,(IF($C113=$CS$7,(-FV(InflationRate,$CS$7,,$D113)),0)),0)</f>
        <v>0</v>
      </c>
      <c r="CT113" s="149">
        <f>IF($C113&gt;0,(IF($CS$7&gt;=$C113+1, (-FV(InflationRate,$CS$7,,$E113)), 0)),0)</f>
        <v>0</v>
      </c>
      <c r="CU113" s="149">
        <f>IF($C113&gt;0,(IF($CS$7&gt;=$C113+1, (-FV(InflationRate,$CS$7,,$F113)), 0)),0)</f>
        <v>0</v>
      </c>
      <c r="CV113" s="157">
        <f>IF($C113&gt;0,(IF($CS$7&gt;=$C113+1, (-FV(InflationRate,$CS$7,,$G113)), 0)),0)</f>
        <v>0</v>
      </c>
      <c r="CW113" s="160">
        <f>IF($C113&gt;0,(IF($C113=$CW$7,(-FV(InflationRate,$CW$7,,$D113)),0)),0)</f>
        <v>0</v>
      </c>
      <c r="CX113" s="150">
        <f>IF($C113&gt;0,(IF($CW$7&gt;=$C113+1, (-FV(InflationRate,$CW$7,,$E113)), 0)),0)</f>
        <v>0</v>
      </c>
      <c r="CY113" s="150">
        <f>IF($C113&gt;0,(IF($CW$7&gt;=$C113+1, (-FV(InflationRate,$CW$7,,$F113)), 0)),0)</f>
        <v>0</v>
      </c>
      <c r="CZ113" s="176">
        <f>IF($C113&gt;0,(IF($CW$7&gt;=$C113+1, (-FV(InflationRate,$CW$7,,$G113)), 0)),0)</f>
        <v>0</v>
      </c>
      <c r="DA113" s="168">
        <f>IF($C113&gt;0,(IF($C113=$DA$7,(-FV(InflationRate,$DA$7,,$D113)),0)),0)</f>
        <v>0</v>
      </c>
      <c r="DB113" s="149">
        <f>IF($C113&gt;0,(IF($DA$7&gt;=$C113+1, (-FV(InflationRate,$DA$7,,$E113)), 0)),0)</f>
        <v>0</v>
      </c>
      <c r="DC113" s="149">
        <f>IF($C113&gt;0,(IF($DA$7&gt;=$C113+1, (-FV(InflationRate,$DA$7,,$F113)), 0)),0)</f>
        <v>0</v>
      </c>
      <c r="DD113" s="157">
        <f>IF($C113&gt;0,(IF($DA$7&gt;=$C113+1, (-FV(InflationRate,$DA$7,,$G113)), 0)),0)</f>
        <v>0</v>
      </c>
    </row>
    <row r="114" spans="2:108" ht="12.75" hidden="1" customHeight="1" x14ac:dyDescent="0.2">
      <c r="B114" s="183" t="s">
        <v>270</v>
      </c>
      <c r="C114" s="556"/>
      <c r="D114" s="557">
        <v>0</v>
      </c>
      <c r="E114" s="558">
        <v>0</v>
      </c>
      <c r="F114" s="149"/>
      <c r="G114" s="558">
        <v>0</v>
      </c>
      <c r="H114" s="168">
        <f>SUM(I114:AB114)</f>
        <v>0</v>
      </c>
      <c r="I114" s="610">
        <f>-PV(InterestRate,I$8,,(SUM(AC114:AF114)))</f>
        <v>0</v>
      </c>
      <c r="J114" s="610">
        <f>-PV(InterestRate,J$8,,(SUM(AG114:AJ114)))</f>
        <v>0</v>
      </c>
      <c r="K114" s="610">
        <f>-PV(InterestRate,K$8,,(SUM(AK114:AN114)))</f>
        <v>0</v>
      </c>
      <c r="L114" s="610">
        <f>-PV(InterestRate,L$8,,(SUM(AO114:AR114)))</f>
        <v>0</v>
      </c>
      <c r="M114" s="610">
        <f>-PV(InterestRate,M$8,,(SUM(AS114:AV114)))</f>
        <v>0</v>
      </c>
      <c r="N114" s="610">
        <f>-PV(InterestRate,N$8,,(SUM(AW114:AZ114)))</f>
        <v>0</v>
      </c>
      <c r="O114" s="610">
        <f>-PV(InterestRate,O$8,,(SUM(BA114:BD114)))</f>
        <v>0</v>
      </c>
      <c r="P114" s="610">
        <f>-PV(InterestRate,P$8,,(SUM(BE114:BH114)))</f>
        <v>0</v>
      </c>
      <c r="Q114" s="610">
        <f>-PV(InterestRate,Q$8,,(SUM(BI114:BL114)))</f>
        <v>0</v>
      </c>
      <c r="R114" s="610">
        <f>-PV(InterestRate,R$8,,(SUM(BM114:BP114)))</f>
        <v>0</v>
      </c>
      <c r="S114" s="610">
        <f>-PV(InterestRate,S$8,,(SUM(BQ114:BT114)))</f>
        <v>0</v>
      </c>
      <c r="T114" s="610">
        <f>-PV(InterestRate,T$8,,(SUM(BU114:BX114)))</f>
        <v>0</v>
      </c>
      <c r="U114" s="610">
        <f>-PV(InterestRate,U$8,,(SUM(BY114:CB114)))</f>
        <v>0</v>
      </c>
      <c r="V114" s="610">
        <f>-PV(InterestRate,V$8,,(SUM(CC114:CF114)))</f>
        <v>0</v>
      </c>
      <c r="W114" s="610">
        <f>-PV(InterestRate,W$8,,(SUM(CG114:CJ114)))</f>
        <v>0</v>
      </c>
      <c r="X114" s="610">
        <f>-PV(InterestRate,X$8,,(SUM(CK114:CN114)))</f>
        <v>0</v>
      </c>
      <c r="Y114" s="610">
        <f>-PV(InterestRate,Y$8,,(SUM(CO114:CR114)))</f>
        <v>0</v>
      </c>
      <c r="Z114" s="610">
        <f>-PV(InterestRate,Z$8,,(SUM(CS114:CV114)))</f>
        <v>0</v>
      </c>
      <c r="AA114" s="610">
        <f>-PV(InterestRate,AA$8,,(SUM(CW114:CZ114)))</f>
        <v>0</v>
      </c>
      <c r="AB114" s="611">
        <f>-PV(InterestRate,AB$8,,(SUM(DA114:DD114)))</f>
        <v>0</v>
      </c>
      <c r="AC114" s="160">
        <f>IF($C114&gt;0,(IF($C114=$AC$7,$D114,0)),0)</f>
        <v>0</v>
      </c>
      <c r="AD114" s="150">
        <f>IF($C114&gt;0,(IF($AC$7&gt;=$C114+1,$E114,0)),0)</f>
        <v>0</v>
      </c>
      <c r="AE114" s="150">
        <f>IF($C114&gt;0,(IF($C114=$AC$7,$F114,0)),0)</f>
        <v>0</v>
      </c>
      <c r="AF114" s="165">
        <f>IF($C114&gt;0,(IF($AC$7&gt;=$C114+1,$G114,0)),0)</f>
        <v>0</v>
      </c>
      <c r="AG114" s="168">
        <f>IF($C114&gt;0,(IF($C114=$AG$7,(-FV(InflationRate,$AG$7,,$D114)),0)),0)</f>
        <v>0</v>
      </c>
      <c r="AH114" s="149">
        <f>IF($C114&gt;0,(IF($AG$7&gt;=$C114+1, (-FV(InflationRate,$AG$7,,$E114)), 0)),0)</f>
        <v>0</v>
      </c>
      <c r="AI114" s="149">
        <f>IF($C114&gt;0,(IF($AG$7&gt;=$C114+1, (-FV(InflationRate,$AG$7,,$F114)), 0)),0)</f>
        <v>0</v>
      </c>
      <c r="AJ114" s="171">
        <f>IF($C114&gt;0,(IF($AG$7&gt;=$C114+1, (-FV(InflationRate,$AG$7,,$G114)), 0)),0)</f>
        <v>0</v>
      </c>
      <c r="AK114" s="160">
        <f>IF($C114&gt;0,(IF($C114=$AK$7,(-FV(InflationRate,$AK$7,,$D114)),0)),0)</f>
        <v>0</v>
      </c>
      <c r="AL114" s="150">
        <f>IF($C114&gt;0,(IF($AK$7&gt;=$C114+1, (-FV(InflationRate,$AK$7,,$E114)), 0)),0)</f>
        <v>0</v>
      </c>
      <c r="AM114" s="150">
        <f>IF($C114&gt;0,(IF($AK$7&gt;=$C114+1, (-FV(InflationRate,$AK$7,,$F114)), 0)),0)</f>
        <v>0</v>
      </c>
      <c r="AN114" s="165">
        <f>IF($C114&gt;0,(IF($AK$7&gt;=$C114+1, (-FV(InflationRate,$AK$7,,$G114)), 0)),0)</f>
        <v>0</v>
      </c>
      <c r="AO114" s="168">
        <f>IF($C114&gt;0,(IF($C114=$AO$7,(-FV(InflationRate,$AO$7,,$D114)),0)),0)</f>
        <v>0</v>
      </c>
      <c r="AP114" s="149">
        <f>IF($C114&gt;0,(IF($AO$7&gt;=$C114+1, (-FV(InflationRate,$AO$7,,$E114)), 0)),0)</f>
        <v>0</v>
      </c>
      <c r="AQ114" s="149">
        <f>IF($C114&gt;0,(IF($AO$7&gt;=$C114+1, (-FV(InflationRate,$AO$7,,$F114)), 0)),0)</f>
        <v>0</v>
      </c>
      <c r="AR114" s="157">
        <f>IF($C114&gt;0,(IF($AO$7&gt;=$C114+1, (-FV(InflationRate,$AO$7,,$G114)), 0)),0)</f>
        <v>0</v>
      </c>
      <c r="AS114" s="160">
        <f>IF($C114&gt;0,(IF($C114=$AS$7,(-FV(InflationRate,$AS$7,,$D114)),0)),0)</f>
        <v>0</v>
      </c>
      <c r="AT114" s="150">
        <f>IF($C114&gt;0,(IF($AS$7&gt;=$C114+1, (-FV(InflationRate,$AS$7,,$E114)), 0)),0)</f>
        <v>0</v>
      </c>
      <c r="AU114" s="150">
        <f>IF($C114&gt;0,(IF($AS$7&gt;=$C114+1, (-FV(InflationRate,$AS$7,,$F114)), 0)),0)</f>
        <v>0</v>
      </c>
      <c r="AV114" s="165">
        <f>IF($C114&gt;0,(IF($AS$7&gt;=$C114+1, (-FV(InflationRate,$AS$7,,$G114)), 0)),0)</f>
        <v>0</v>
      </c>
      <c r="AW114" s="168">
        <f>IF($C114&gt;0,(IF($C114=$AW$7,(-FV(InflationRate,$AW$7,,$D114)),0)),0)</f>
        <v>0</v>
      </c>
      <c r="AX114" s="149">
        <f>IF($C114&gt;0,(IF($AW$7&gt;=$C114+1, (-FV(InflationRate,$AW$7,,$E114)), 0)),0)</f>
        <v>0</v>
      </c>
      <c r="AY114" s="149">
        <f>IF($C114&gt;0,(IF($AW$7&gt;=$C114+1, (-FV(InflationRate,$AW$7,,$F114)), 0)),0)</f>
        <v>0</v>
      </c>
      <c r="AZ114" s="157">
        <f>IF($C114&gt;0,(IF($AW$7&gt;=$C114+1, (-FV(InflationRate,$AW$7,,$G114)), 0)),0)</f>
        <v>0</v>
      </c>
      <c r="BA114" s="160">
        <f>IF($C114&gt;0,(IF($C114=$BA$7,(-FV(InflationRate,$BA$7,,$D114)),0)),0)</f>
        <v>0</v>
      </c>
      <c r="BB114" s="150">
        <f>IF($C114&gt;0,(IF($BA$7&gt;=$C114+1, (-FV(InflationRate,$BA$7,,$E114)), 0)),0)</f>
        <v>0</v>
      </c>
      <c r="BC114" s="150">
        <f>IF($C114&gt;0,(IF($BA$7&gt;=$C114+1, (-FV(InflationRate,$BA$7,,$F114)), 0)),0)</f>
        <v>0</v>
      </c>
      <c r="BD114" s="176">
        <f>IF($C114&gt;0,(IF($BA$7&gt;=$C114+1, (-FV(InflationRate,$BA$7,,$G114)), 0)),0)</f>
        <v>0</v>
      </c>
      <c r="BE114" s="168">
        <f>IF($C114&gt;0,(IF($C114=$BE$7,(-FV(InflationRate,$BE$7,,$D114)),0)),0)</f>
        <v>0</v>
      </c>
      <c r="BF114" s="149">
        <f>IF($C114&gt;0,(IF($BE$7&gt;=$C114+1, (-FV(InflationRate,$BE$7,,$E114)), 0)),0)</f>
        <v>0</v>
      </c>
      <c r="BG114" s="149">
        <f>IF($C114&gt;0,(IF($BE$7&gt;=$C114+1, (-FV(InflationRate,$BE$7,,$F114)), 0)),0)</f>
        <v>0</v>
      </c>
      <c r="BH114" s="171">
        <f>IF($C114&gt;0,(IF($BE$7&gt;=$C114+1, (-FV(InflationRate,$BE$7,,$G114)), 0)),0)</f>
        <v>0</v>
      </c>
      <c r="BI114" s="160">
        <f>IF($C114&gt;0,(IF($C114=$BI$7,(-FV(InflationRate,$BI$7,,$D114)),0)),0)</f>
        <v>0</v>
      </c>
      <c r="BJ114" s="150">
        <f>IF($C114&gt;0,(IF($BI$7&gt;=$C114+1, (-FV(InflationRate,$BI$7,,$E114)), 0)),0)</f>
        <v>0</v>
      </c>
      <c r="BK114" s="150">
        <f>IF($C114&gt;0,(IF($BI$7&gt;=$C114+1, (-FV(InflationRate,$BI$7,,$F114)), 0)),0)</f>
        <v>0</v>
      </c>
      <c r="BL114" s="176">
        <f>IF($C114&gt;0,(IF($BI$7&gt;=$C114+1, (-FV(InflationRate,$BI$7,,$G114)), 0)),0)</f>
        <v>0</v>
      </c>
      <c r="BM114" s="168">
        <f>IF($C114&gt;0,(IF($C114=$BM$7,(-FV(InflationRate,$BM$7,,$D114)),0)),0)</f>
        <v>0</v>
      </c>
      <c r="BN114" s="149">
        <f>IF($C114&gt;0,(IF($BM$7&gt;=$C114+1, (-FV(InflationRate,$BM$7,,$E114)), 0)),0)</f>
        <v>0</v>
      </c>
      <c r="BO114" s="149">
        <f>IF($C114&gt;0,(IF($BM$7&gt;=$C114+1, (-FV(InflationRate,$BM$7,,$F114)), 0)),0)</f>
        <v>0</v>
      </c>
      <c r="BP114" s="157">
        <f>IF($C114&gt;0,(IF($BM$7&gt;=$C114+1, (-FV(InflationRate,$BM$7,,$G114)), 0)),0)</f>
        <v>0</v>
      </c>
      <c r="BQ114" s="160">
        <f>IF($C114&gt;0,(IF($C114=$BQ$7,(-FV(InflationRate,$BQ$7,,$D114)),0)),0)</f>
        <v>0</v>
      </c>
      <c r="BR114" s="150">
        <f>IF($C114&gt;0,(IF($BQ$7&gt;=$C114+1, (-FV(InflationRate,$BQ$7,,$E114)), 0)),0)</f>
        <v>0</v>
      </c>
      <c r="BS114" s="150">
        <f>IF($C114&gt;0,(IF($BQ$7&gt;=$C114+1, (-FV(InflationRate,$BQ$7,,$F114)), 0)),0)</f>
        <v>0</v>
      </c>
      <c r="BT114" s="176">
        <f>IF($C114&gt;0,(IF($BQ$7&gt;=$C114+1, (-FV(InflationRate,$BQ$7,,$G114)), 0)),0)</f>
        <v>0</v>
      </c>
      <c r="BU114" s="168">
        <f>IF($C114&gt;0,(IF($C114=$BU$7,(-FV(InflationRate,$BU$7,,$D114)),0)),0)</f>
        <v>0</v>
      </c>
      <c r="BV114" s="149">
        <f>IF($C114&gt;0,(IF($BU$7&gt;=$C114+1, (-FV(InflationRate,$BU$7,,$E114)), 0)),0)</f>
        <v>0</v>
      </c>
      <c r="BW114" s="149">
        <f>IF($C114&gt;0,(IF($BU$7&gt;=$C114+1, (-FV(InflationRate,$BU$7,,$F114)), 0)),0)</f>
        <v>0</v>
      </c>
      <c r="BX114" s="157">
        <f>IF($C114&gt;0,(IF($BU$7&gt;=$C114+1, (-FV(InflationRate,$BU$7,,$G114)), 0)),0)</f>
        <v>0</v>
      </c>
      <c r="BY114" s="160">
        <f>IF($C114&gt;0,(IF($C114=$BY$7,(-FV(InflationRate,$BY$7,,$D114)),0)),0)</f>
        <v>0</v>
      </c>
      <c r="BZ114" s="150">
        <f>IF($C114&gt;0,(IF($BY$7&gt;=$C114+1, (-FV(InflationRate,$BY$7,,$E114)), 0)),0)</f>
        <v>0</v>
      </c>
      <c r="CA114" s="150">
        <f>IF($C114&gt;0,(IF($BY$7&gt;=$C114+1, (-FV(InflationRate,$BY$7,,$F114)), 0)),0)</f>
        <v>0</v>
      </c>
      <c r="CB114" s="176">
        <f>IF($C114&gt;0,(IF($BY$7&gt;=$C114+1, (-FV(InflationRate,$BY$7,,$G114)), 0)),0)</f>
        <v>0</v>
      </c>
      <c r="CC114" s="168">
        <f>IF($C114&gt;0,(IF($C114=$CC$7,(-FV(InflationRate,$CC$7,,$D114)),0)),0)</f>
        <v>0</v>
      </c>
      <c r="CD114" s="149">
        <f>IF($C114&gt;0,(IF($CC$7&gt;=$C114+1, (-FV(InflationRate,$CC$7,,$E114)), 0)),0)</f>
        <v>0</v>
      </c>
      <c r="CE114" s="149">
        <f>IF($C114&gt;0,(IF($CC$7&gt;=$C114+1, (-FV(InflationRate,$CC$7,,$F114)), 0)),0)</f>
        <v>0</v>
      </c>
      <c r="CF114" s="157">
        <f>IF($C114&gt;0,(IF($CC$7&gt;=$C114+1, (-FV(InflationRate,$CC$7,,$G114)), 0)),0)</f>
        <v>0</v>
      </c>
      <c r="CG114" s="160">
        <f>IF($C114&gt;0,(IF($C114=$CG$7,(-FV(InflationRate,$CG$7,,$D114)),0)),0)</f>
        <v>0</v>
      </c>
      <c r="CH114" s="150">
        <f>IF($C114&gt;0,(IF($CG$7&gt;=$C114+1, (-FV(InflationRate,$CG$7,,$E114)), 0)),0)</f>
        <v>0</v>
      </c>
      <c r="CI114" s="150">
        <f>IF($C114&gt;0,(IF($CG$7&gt;=$C114+1, (-FV(InflationRate,$CG$7,,$F114)), 0)),0)</f>
        <v>0</v>
      </c>
      <c r="CJ114" s="176">
        <f>IF($C114&gt;0,(IF($CG$7&gt;=$C114+1, (-FV(InflationRate,$CG$7,,$G114)), 0)),0)</f>
        <v>0</v>
      </c>
      <c r="CK114" s="168">
        <f>IF($C114&gt;0,(IF($C114=$CK$7,(-FV(InflationRate,$CK$7,,$D114)),0)),0)</f>
        <v>0</v>
      </c>
      <c r="CL114" s="149">
        <f>IF($C114&gt;0,(IF($CK$7&gt;=$C114+1, (-FV(InflationRate,$CK$7,,$E114)), 0)),0)</f>
        <v>0</v>
      </c>
      <c r="CM114" s="149">
        <f>IF($C114&gt;0,(IF($CK$7&gt;=$C114+1, (-FV(InflationRate,$CK$7,,$F114)), 0)),0)</f>
        <v>0</v>
      </c>
      <c r="CN114" s="157">
        <f>IF($C114&gt;0,(IF($CK$7&gt;=$C114+1, (-FV(InflationRate,$CK$7,,$G114)), 0)),0)</f>
        <v>0</v>
      </c>
      <c r="CO114" s="160">
        <f>IF($C114&gt;0,(IF($C114=$CO$7,(-FV(InflationRate,$CO$7,,$D114)),0)),0)</f>
        <v>0</v>
      </c>
      <c r="CP114" s="150">
        <f>IF($C114&gt;0,(IF($CO$7&gt;=$C114+1, (-FV(InflationRate,$CO$7,,$E114)), 0)),0)</f>
        <v>0</v>
      </c>
      <c r="CQ114" s="150">
        <f>IF($C114&gt;0,(IF($CO$7&gt;=$C114+1, (-FV(InflationRate,$CO$7,,$F114)), 0)),0)</f>
        <v>0</v>
      </c>
      <c r="CR114" s="176">
        <f>IF($C114&gt;0,(IF($CO$7&gt;=$C114+1, (-FV(InflationRate,$CO$7,,$G114)), 0)),0)</f>
        <v>0</v>
      </c>
      <c r="CS114" s="168">
        <f>IF($C114&gt;0,(IF($C114=$CS$7,(-FV(InflationRate,$CS$7,,$D114)),0)),0)</f>
        <v>0</v>
      </c>
      <c r="CT114" s="149">
        <f>IF($C114&gt;0,(IF($CS$7&gt;=$C114+1, (-FV(InflationRate,$CS$7,,$E114)), 0)),0)</f>
        <v>0</v>
      </c>
      <c r="CU114" s="149">
        <f>IF($C114&gt;0,(IF($CS$7&gt;=$C114+1, (-FV(InflationRate,$CS$7,,$F114)), 0)),0)</f>
        <v>0</v>
      </c>
      <c r="CV114" s="157">
        <f>IF($C114&gt;0,(IF($CS$7&gt;=$C114+1, (-FV(InflationRate,$CS$7,,$G114)), 0)),0)</f>
        <v>0</v>
      </c>
      <c r="CW114" s="160">
        <f>IF($C114&gt;0,(IF($C114=$CW$7,(-FV(InflationRate,$CW$7,,$D114)),0)),0)</f>
        <v>0</v>
      </c>
      <c r="CX114" s="150">
        <f>IF($C114&gt;0,(IF($CW$7&gt;=$C114+1, (-FV(InflationRate,$CW$7,,$E114)), 0)),0)</f>
        <v>0</v>
      </c>
      <c r="CY114" s="150">
        <f>IF($C114&gt;0,(IF($CW$7&gt;=$C114+1, (-FV(InflationRate,$CW$7,,$F114)), 0)),0)</f>
        <v>0</v>
      </c>
      <c r="CZ114" s="176">
        <f>IF($C114&gt;0,(IF($CW$7&gt;=$C114+1, (-FV(InflationRate,$CW$7,,$G114)), 0)),0)</f>
        <v>0</v>
      </c>
      <c r="DA114" s="168">
        <f>IF($C114&gt;0,(IF($C114=$DA$7,(-FV(InflationRate,$DA$7,,$D114)),0)),0)</f>
        <v>0</v>
      </c>
      <c r="DB114" s="149">
        <f>IF($C114&gt;0,(IF($DA$7&gt;=$C114+1, (-FV(InflationRate,$DA$7,,$E114)), 0)),0)</f>
        <v>0</v>
      </c>
      <c r="DC114" s="149">
        <f>IF($C114&gt;0,(IF($DA$7&gt;=$C114+1, (-FV(InflationRate,$DA$7,,$F114)), 0)),0)</f>
        <v>0</v>
      </c>
      <c r="DD114" s="157">
        <f>IF($C114&gt;0,(IF($DA$7&gt;=$C114+1, (-FV(InflationRate,$DA$7,,$G114)), 0)),0)</f>
        <v>0</v>
      </c>
    </row>
    <row r="115" spans="2:108" ht="12.75" hidden="1" customHeight="1" x14ac:dyDescent="0.2">
      <c r="B115" s="183" t="s">
        <v>203</v>
      </c>
      <c r="C115" s="556"/>
      <c r="D115" s="168"/>
      <c r="E115" s="149"/>
      <c r="F115" s="558">
        <v>0</v>
      </c>
      <c r="G115" s="149"/>
      <c r="H115" s="168">
        <f>SUM(I115:AB115)</f>
        <v>0</v>
      </c>
      <c r="I115" s="610">
        <f>-PV(InterestRate,I$8,,(SUM(AC115:AF115)))</f>
        <v>0</v>
      </c>
      <c r="J115" s="610">
        <f>-PV(InterestRate,J$8,,(SUM(AG115:AJ115)))</f>
        <v>0</v>
      </c>
      <c r="K115" s="610">
        <f>-PV(InterestRate,K$8,,(SUM(AK115:AN115)))</f>
        <v>0</v>
      </c>
      <c r="L115" s="610">
        <f>-PV(InterestRate,L$8,,(SUM(AO115:AR115)))</f>
        <v>0</v>
      </c>
      <c r="M115" s="610">
        <f>-PV(InterestRate,M$8,,(SUM(AS115:AV115)))</f>
        <v>0</v>
      </c>
      <c r="N115" s="610">
        <f>-PV(InterestRate,N$8,,(SUM(AW115:AZ115)))</f>
        <v>0</v>
      </c>
      <c r="O115" s="610">
        <f>-PV(InterestRate,O$8,,(SUM(BA115:BD115)))</f>
        <v>0</v>
      </c>
      <c r="P115" s="610">
        <f>-PV(InterestRate,P$8,,(SUM(BE115:BH115)))</f>
        <v>0</v>
      </c>
      <c r="Q115" s="610">
        <f>-PV(InterestRate,Q$8,,(SUM(BI115:BL115)))</f>
        <v>0</v>
      </c>
      <c r="R115" s="610">
        <f>-PV(InterestRate,R$8,,(SUM(BM115:BP115)))</f>
        <v>0</v>
      </c>
      <c r="S115" s="610">
        <f>-PV(InterestRate,S$8,,(SUM(BQ115:BT115)))</f>
        <v>0</v>
      </c>
      <c r="T115" s="610">
        <f>-PV(InterestRate,T$8,,(SUM(BU115:BX115)))</f>
        <v>0</v>
      </c>
      <c r="U115" s="610">
        <f>-PV(InterestRate,U$8,,(SUM(BY115:CB115)))</f>
        <v>0</v>
      </c>
      <c r="V115" s="610">
        <f>-PV(InterestRate,V$8,,(SUM(CC115:CF115)))</f>
        <v>0</v>
      </c>
      <c r="W115" s="610">
        <f>-PV(InterestRate,W$8,,(SUM(CG115:CJ115)))</f>
        <v>0</v>
      </c>
      <c r="X115" s="610">
        <f>-PV(InterestRate,X$8,,(SUM(CK115:CN115)))</f>
        <v>0</v>
      </c>
      <c r="Y115" s="610">
        <f>-PV(InterestRate,Y$8,,(SUM(CO115:CR115)))</f>
        <v>0</v>
      </c>
      <c r="Z115" s="610">
        <f>-PV(InterestRate,Z$8,,(SUM(CS115:CV115)))</f>
        <v>0</v>
      </c>
      <c r="AA115" s="610">
        <f>-PV(InterestRate,AA$8,,(SUM(CW115:CZ115)))</f>
        <v>0</v>
      </c>
      <c r="AB115" s="611">
        <f>-PV(InterestRate,AB$8,,(SUM(DA115:DD115)))</f>
        <v>0</v>
      </c>
      <c r="AC115" s="160">
        <f>IF($C115&gt;0,(IF($C115=$AC$7,$D115,0)),0)</f>
        <v>0</v>
      </c>
      <c r="AD115" s="150">
        <f>IF($C115&gt;0,(IF($AC$7&gt;=$C115+1,$E115,0)),0)</f>
        <v>0</v>
      </c>
      <c r="AE115" s="150">
        <f>IF($C115&gt;0,(IF($C115=$AC$7,$F115,0)),0)</f>
        <v>0</v>
      </c>
      <c r="AF115" s="165">
        <f>IF($C115&gt;0,(IF($AC$7&gt;=$C115+1,$G115,0)),0)</f>
        <v>0</v>
      </c>
      <c r="AG115" s="168">
        <f>IF($C115&gt;0,(IF($C115=$AG$7,(-FV(InflationRate,$AG$7,,$D115)),0)),0)</f>
        <v>0</v>
      </c>
      <c r="AH115" s="149">
        <f>IF($C115&gt;0,(IF($AG$7&gt;=$C115+1, (-FV(InflationRate,$AG$7,,$E115)), 0)),0)</f>
        <v>0</v>
      </c>
      <c r="AI115" s="149">
        <f>IF($C115&gt;0,(IF($AG$7&gt;=$C115+1, (-FV(InflationRate,$AG$7,,$F115)), 0)),0)</f>
        <v>0</v>
      </c>
      <c r="AJ115" s="171">
        <f>IF($C115&gt;0,(IF($AG$7&gt;=$C115+1, (-FV(InflationRate,$AG$7,,$G115)), 0)),0)</f>
        <v>0</v>
      </c>
      <c r="AK115" s="160">
        <f>IF($C115&gt;0,(IF($C115=$AK$7,(-FV(InflationRate,$AK$7,,$D115)),0)),0)</f>
        <v>0</v>
      </c>
      <c r="AL115" s="150">
        <f>IF($C115&gt;0,(IF($AK$7&gt;=$C115+1, (-FV(InflationRate,$AK$7,,$E115)), 0)),0)</f>
        <v>0</v>
      </c>
      <c r="AM115" s="150">
        <f>IF($C115&gt;0,(IF($AK$7&gt;=$C115+1, (-FV(InflationRate,$AK$7,,$F115)), 0)),0)</f>
        <v>0</v>
      </c>
      <c r="AN115" s="165">
        <f>IF($C115&gt;0,(IF($AK$7&gt;=$C115+1, (-FV(InflationRate,$AK$7,,$G115)), 0)),0)</f>
        <v>0</v>
      </c>
      <c r="AO115" s="168">
        <f>IF($C115&gt;0,(IF($C115=$AO$7,(-FV(InflationRate,$AO$7,,$D115)),0)),0)</f>
        <v>0</v>
      </c>
      <c r="AP115" s="149">
        <f>IF($C115&gt;0,(IF($AO$7&gt;=$C115+1, (-FV(InflationRate,$AO$7,,$E115)), 0)),0)</f>
        <v>0</v>
      </c>
      <c r="AQ115" s="149">
        <f>IF($C115&gt;0,(IF($AO$7&gt;=$C115+1, (-FV(InflationRate,$AO$7,,$F115)), 0)),0)</f>
        <v>0</v>
      </c>
      <c r="AR115" s="157">
        <f>IF($C115&gt;0,(IF($AO$7&gt;=$C115+1, (-FV(InflationRate,$AO$7,,$G115)), 0)),0)</f>
        <v>0</v>
      </c>
      <c r="AS115" s="160">
        <f>IF($C115&gt;0,(IF($C115=$AS$7,(-FV(InflationRate,$AS$7,,$D115)),0)),0)</f>
        <v>0</v>
      </c>
      <c r="AT115" s="150">
        <f>IF($C115&gt;0,(IF($AS$7&gt;=$C115+1, (-FV(InflationRate,$AS$7,,$E115)), 0)),0)</f>
        <v>0</v>
      </c>
      <c r="AU115" s="150">
        <f>IF($C115&gt;0,(IF($AS$7&gt;=$C115+1, (-FV(InflationRate,$AS$7,,$F115)), 0)),0)</f>
        <v>0</v>
      </c>
      <c r="AV115" s="165">
        <f>IF($C115&gt;0,(IF($AS$7&gt;=$C115+1, (-FV(InflationRate,$AS$7,,$G115)), 0)),0)</f>
        <v>0</v>
      </c>
      <c r="AW115" s="168">
        <f>IF($C115&gt;0,(IF($C115=$AW$7,(-FV(InflationRate,$AW$7,,$D115)),0)),0)</f>
        <v>0</v>
      </c>
      <c r="AX115" s="149">
        <f>IF($C115&gt;0,(IF($AW$7&gt;=$C115+1, (-FV(InflationRate,$AW$7,,$E115)), 0)),0)</f>
        <v>0</v>
      </c>
      <c r="AY115" s="149">
        <f>IF($C115&gt;0,(IF($AW$7&gt;=$C115+1, (-FV(InflationRate,$AW$7,,$F115)), 0)),0)</f>
        <v>0</v>
      </c>
      <c r="AZ115" s="157">
        <f>IF($C115&gt;0,(IF($AW$7&gt;=$C115+1, (-FV(InflationRate,$AW$7,,$G115)), 0)),0)</f>
        <v>0</v>
      </c>
      <c r="BA115" s="160">
        <f>IF($C115&gt;0,(IF($C115=$BA$7,(-FV(InflationRate,$BA$7,,$D115)),0)),0)</f>
        <v>0</v>
      </c>
      <c r="BB115" s="150">
        <f>IF($C115&gt;0,(IF($BA$7&gt;=$C115+1, (-FV(InflationRate,$BA$7,,$E115)), 0)),0)</f>
        <v>0</v>
      </c>
      <c r="BC115" s="150">
        <f>IF($C115&gt;0,(IF($BA$7&gt;=$C115+1, (-FV(InflationRate,$BA$7,,$F115)), 0)),0)</f>
        <v>0</v>
      </c>
      <c r="BD115" s="176">
        <f>IF($C115&gt;0,(IF($BA$7&gt;=$C115+1, (-FV(InflationRate,$BA$7,,$G115)), 0)),0)</f>
        <v>0</v>
      </c>
      <c r="BE115" s="168">
        <f>IF($C115&gt;0,(IF($C115=$BE$7,(-FV(InflationRate,$BE$7,,$D115)),0)),0)</f>
        <v>0</v>
      </c>
      <c r="BF115" s="149">
        <f>IF($C115&gt;0,(IF($BE$7&gt;=$C115+1, (-FV(InflationRate,$BE$7,,$E115)), 0)),0)</f>
        <v>0</v>
      </c>
      <c r="BG115" s="149">
        <f>IF($C115&gt;0,(IF($BE$7&gt;=$C115+1, (-FV(InflationRate,$BE$7,,$F115)), 0)),0)</f>
        <v>0</v>
      </c>
      <c r="BH115" s="171">
        <f>IF($C115&gt;0,(IF($BE$7&gt;=$C115+1, (-FV(InflationRate,$BE$7,,$G115)), 0)),0)</f>
        <v>0</v>
      </c>
      <c r="BI115" s="160">
        <f>IF($C115&gt;0,(IF($C115=$BI$7,(-FV(InflationRate,$BI$7,,$D115)),0)),0)</f>
        <v>0</v>
      </c>
      <c r="BJ115" s="150">
        <f>IF($C115&gt;0,(IF($BI$7&gt;=$C115+1, (-FV(InflationRate,$BI$7,,$E115)), 0)),0)</f>
        <v>0</v>
      </c>
      <c r="BK115" s="150">
        <f>IF($C115&gt;0,(IF($BI$7&gt;=$C115+1, (-FV(InflationRate,$BI$7,,$F115)), 0)),0)</f>
        <v>0</v>
      </c>
      <c r="BL115" s="176">
        <f>IF($C115&gt;0,(IF($BI$7&gt;=$C115+1, (-FV(InflationRate,$BI$7,,$G115)), 0)),0)</f>
        <v>0</v>
      </c>
      <c r="BM115" s="168">
        <f>IF($C115&gt;0,(IF($C115=$BM$7,(-FV(InflationRate,$BM$7,,$D115)),0)),0)</f>
        <v>0</v>
      </c>
      <c r="BN115" s="149">
        <f>IF($C115&gt;0,(IF($BM$7&gt;=$C115+1, (-FV(InflationRate,$BM$7,,$E115)), 0)),0)</f>
        <v>0</v>
      </c>
      <c r="BO115" s="149">
        <f>IF($C115&gt;0,(IF($BM$7&gt;=$C115+1, (-FV(InflationRate,$BM$7,,$F115)), 0)),0)</f>
        <v>0</v>
      </c>
      <c r="BP115" s="157">
        <f>IF($C115&gt;0,(IF($BM$7&gt;=$C115+1, (-FV(InflationRate,$BM$7,,$G115)), 0)),0)</f>
        <v>0</v>
      </c>
      <c r="BQ115" s="160">
        <f>IF($C115&gt;0,(IF($C115=$BQ$7,(-FV(InflationRate,$BQ$7,,$D115)),0)),0)</f>
        <v>0</v>
      </c>
      <c r="BR115" s="150">
        <f>IF($C115&gt;0,(IF($BQ$7&gt;=$C115+1, (-FV(InflationRate,$BQ$7,,$E115)), 0)),0)</f>
        <v>0</v>
      </c>
      <c r="BS115" s="150">
        <f>IF($C115&gt;0,(IF($BQ$7&gt;=$C115+1, (-FV(InflationRate,$BQ$7,,$F115)), 0)),0)</f>
        <v>0</v>
      </c>
      <c r="BT115" s="176">
        <f>IF($C115&gt;0,(IF($BQ$7&gt;=$C115+1, (-FV(InflationRate,$BQ$7,,$G115)), 0)),0)</f>
        <v>0</v>
      </c>
      <c r="BU115" s="168">
        <f>IF($C115&gt;0,(IF($C115=$BU$7,(-FV(InflationRate,$BU$7,,$D115)),0)),0)</f>
        <v>0</v>
      </c>
      <c r="BV115" s="149">
        <f>IF($C115&gt;0,(IF($BU$7&gt;=$C115+1, (-FV(InflationRate,$BU$7,,$E115)), 0)),0)</f>
        <v>0</v>
      </c>
      <c r="BW115" s="149">
        <f>IF($C115&gt;0,(IF($BU$7&gt;=$C115+1, (-FV(InflationRate,$BU$7,,$F115)), 0)),0)</f>
        <v>0</v>
      </c>
      <c r="BX115" s="157">
        <f>IF($C115&gt;0,(IF($BU$7&gt;=$C115+1, (-FV(InflationRate,$BU$7,,$G115)), 0)),0)</f>
        <v>0</v>
      </c>
      <c r="BY115" s="160">
        <f>IF($C115&gt;0,(IF($C115=$BY$7,(-FV(InflationRate,$BY$7,,$D115)),0)),0)</f>
        <v>0</v>
      </c>
      <c r="BZ115" s="150">
        <f>IF($C115&gt;0,(IF($BY$7&gt;=$C115+1, (-FV(InflationRate,$BY$7,,$E115)), 0)),0)</f>
        <v>0</v>
      </c>
      <c r="CA115" s="150">
        <f>IF($C115&gt;0,(IF($BY$7&gt;=$C115+1, (-FV(InflationRate,$BY$7,,$F115)), 0)),0)</f>
        <v>0</v>
      </c>
      <c r="CB115" s="176">
        <f>IF($C115&gt;0,(IF($BY$7&gt;=$C115+1, (-FV(InflationRate,$BY$7,,$G115)), 0)),0)</f>
        <v>0</v>
      </c>
      <c r="CC115" s="168">
        <f>IF($C115&gt;0,(IF($C115=$CC$7,(-FV(InflationRate,$CC$7,,$D115)),0)),0)</f>
        <v>0</v>
      </c>
      <c r="CD115" s="149">
        <f>IF($C115&gt;0,(IF($CC$7&gt;=$C115+1, (-FV(InflationRate,$CC$7,,$E115)), 0)),0)</f>
        <v>0</v>
      </c>
      <c r="CE115" s="149">
        <f>IF($C115&gt;0,(IF($CC$7&gt;=$C115+1, (-FV(InflationRate,$CC$7,,$F115)), 0)),0)</f>
        <v>0</v>
      </c>
      <c r="CF115" s="157">
        <f>IF($C115&gt;0,(IF($CC$7&gt;=$C115+1, (-FV(InflationRate,$CC$7,,$G115)), 0)),0)</f>
        <v>0</v>
      </c>
      <c r="CG115" s="160">
        <f>IF($C115&gt;0,(IF($C115=$CG$7,(-FV(InflationRate,$CG$7,,$D115)),0)),0)</f>
        <v>0</v>
      </c>
      <c r="CH115" s="150">
        <f>IF($C115&gt;0,(IF($CG$7&gt;=$C115+1, (-FV(InflationRate,$CG$7,,$E115)), 0)),0)</f>
        <v>0</v>
      </c>
      <c r="CI115" s="150">
        <f>IF($C115&gt;0,(IF($CG$7&gt;=$C115+1, (-FV(InflationRate,$CG$7,,$F115)), 0)),0)</f>
        <v>0</v>
      </c>
      <c r="CJ115" s="176">
        <f>IF($C115&gt;0,(IF($CG$7&gt;=$C115+1, (-FV(InflationRate,$CG$7,,$G115)), 0)),0)</f>
        <v>0</v>
      </c>
      <c r="CK115" s="168">
        <f>IF($C115&gt;0,(IF($C115=$CK$7,(-FV(InflationRate,$CK$7,,$D115)),0)),0)</f>
        <v>0</v>
      </c>
      <c r="CL115" s="149">
        <f>IF($C115&gt;0,(IF($CK$7&gt;=$C115+1, (-FV(InflationRate,$CK$7,,$E115)), 0)),0)</f>
        <v>0</v>
      </c>
      <c r="CM115" s="149">
        <f>IF($C115&gt;0,(IF($CK$7&gt;=$C115+1, (-FV(InflationRate,$CK$7,,$F115)), 0)),0)</f>
        <v>0</v>
      </c>
      <c r="CN115" s="157">
        <f>IF($C115&gt;0,(IF($CK$7&gt;=$C115+1, (-FV(InflationRate,$CK$7,,$G115)), 0)),0)</f>
        <v>0</v>
      </c>
      <c r="CO115" s="160">
        <f>IF($C115&gt;0,(IF($C115=$CO$7,(-FV(InflationRate,$CO$7,,$D115)),0)),0)</f>
        <v>0</v>
      </c>
      <c r="CP115" s="150">
        <f>IF($C115&gt;0,(IF($CO$7&gt;=$C115+1, (-FV(InflationRate,$CO$7,,$E115)), 0)),0)</f>
        <v>0</v>
      </c>
      <c r="CQ115" s="150">
        <f>IF($C115&gt;0,(IF($CO$7&gt;=$C115+1, (-FV(InflationRate,$CO$7,,$F115)), 0)),0)</f>
        <v>0</v>
      </c>
      <c r="CR115" s="176">
        <f>IF($C115&gt;0,(IF($CO$7&gt;=$C115+1, (-FV(InflationRate,$CO$7,,$G115)), 0)),0)</f>
        <v>0</v>
      </c>
      <c r="CS115" s="168">
        <f>IF($C115&gt;0,(IF($C115=$CS$7,(-FV(InflationRate,$CS$7,,$D115)),0)),0)</f>
        <v>0</v>
      </c>
      <c r="CT115" s="149">
        <f>IF($C115&gt;0,(IF($CS$7&gt;=$C115+1, (-FV(InflationRate,$CS$7,,$E115)), 0)),0)</f>
        <v>0</v>
      </c>
      <c r="CU115" s="149">
        <f>IF($C115&gt;0,(IF($CS$7&gt;=$C115+1, (-FV(InflationRate,$CS$7,,$F115)), 0)),0)</f>
        <v>0</v>
      </c>
      <c r="CV115" s="157">
        <f>IF($C115&gt;0,(IF($CS$7&gt;=$C115+1, (-FV(InflationRate,$CS$7,,$G115)), 0)),0)</f>
        <v>0</v>
      </c>
      <c r="CW115" s="160">
        <f>IF($C115&gt;0,(IF($C115=$CW$7,(-FV(InflationRate,$CW$7,,$D115)),0)),0)</f>
        <v>0</v>
      </c>
      <c r="CX115" s="150">
        <f>IF($C115&gt;0,(IF($CW$7&gt;=$C115+1, (-FV(InflationRate,$CW$7,,$E115)), 0)),0)</f>
        <v>0</v>
      </c>
      <c r="CY115" s="150">
        <f>IF($C115&gt;0,(IF($CW$7&gt;=$C115+1, (-FV(InflationRate,$CW$7,,$F115)), 0)),0)</f>
        <v>0</v>
      </c>
      <c r="CZ115" s="176">
        <f>IF($C115&gt;0,(IF($CW$7&gt;=$C115+1, (-FV(InflationRate,$CW$7,,$G115)), 0)),0)</f>
        <v>0</v>
      </c>
      <c r="DA115" s="168">
        <f>IF($C115&gt;0,(IF($C115=$DA$7,(-FV(InflationRate,$DA$7,,$D115)),0)),0)</f>
        <v>0</v>
      </c>
      <c r="DB115" s="149">
        <f>IF($C115&gt;0,(IF($DA$7&gt;=$C115+1, (-FV(InflationRate,$DA$7,,$E115)), 0)),0)</f>
        <v>0</v>
      </c>
      <c r="DC115" s="149">
        <f>IF($C115&gt;0,(IF($DA$7&gt;=$C115+1, (-FV(InflationRate,$DA$7,,$F115)), 0)),0)</f>
        <v>0</v>
      </c>
      <c r="DD115" s="157">
        <f>IF($C115&gt;0,(IF($DA$7&gt;=$C115+1, (-FV(InflationRate,$DA$7,,$G115)), 0)),0)</f>
        <v>0</v>
      </c>
    </row>
    <row r="116" spans="2:108" ht="12.75" hidden="1" customHeight="1" x14ac:dyDescent="0.2">
      <c r="B116" s="182" t="s">
        <v>221</v>
      </c>
      <c r="C116" s="189"/>
      <c r="D116" s="168"/>
      <c r="E116" s="149"/>
      <c r="F116" s="149"/>
      <c r="G116" s="149"/>
      <c r="H116" s="168"/>
      <c r="I116" s="600"/>
      <c r="J116" s="600"/>
      <c r="K116" s="600"/>
      <c r="L116" s="600"/>
      <c r="M116" s="600"/>
      <c r="N116" s="600"/>
      <c r="O116" s="600"/>
      <c r="P116" s="600"/>
      <c r="Q116" s="600"/>
      <c r="R116" s="600"/>
      <c r="S116" s="600"/>
      <c r="T116" s="600"/>
      <c r="U116" s="600"/>
      <c r="V116" s="600"/>
      <c r="W116" s="600"/>
      <c r="X116" s="600"/>
      <c r="Y116" s="600"/>
      <c r="Z116" s="600"/>
      <c r="AA116" s="600"/>
      <c r="AB116" s="601"/>
      <c r="AC116" s="160"/>
      <c r="AD116" s="150"/>
      <c r="AE116" s="150"/>
      <c r="AF116" s="165"/>
      <c r="AG116" s="168"/>
      <c r="AH116" s="149"/>
      <c r="AI116" s="149"/>
      <c r="AJ116" s="171"/>
      <c r="AK116" s="160"/>
      <c r="AL116" s="150"/>
      <c r="AM116" s="150"/>
      <c r="AN116" s="165"/>
      <c r="AO116" s="168"/>
      <c r="AP116" s="149"/>
      <c r="AQ116" s="149"/>
      <c r="AR116" s="157"/>
      <c r="AS116" s="160"/>
      <c r="AT116" s="150"/>
      <c r="AU116" s="150"/>
      <c r="AV116" s="165"/>
      <c r="AW116" s="168"/>
      <c r="AX116" s="149"/>
      <c r="AY116" s="149"/>
      <c r="AZ116" s="157"/>
      <c r="BA116" s="160"/>
      <c r="BB116" s="150"/>
      <c r="BC116" s="150"/>
      <c r="BD116" s="176"/>
      <c r="BE116" s="168"/>
      <c r="BF116" s="149"/>
      <c r="BG116" s="149"/>
      <c r="BH116" s="171"/>
      <c r="BI116" s="160"/>
      <c r="BJ116" s="150"/>
      <c r="BK116" s="150"/>
      <c r="BL116" s="176"/>
      <c r="BM116" s="168"/>
      <c r="BN116" s="149"/>
      <c r="BO116" s="149"/>
      <c r="BP116" s="157"/>
      <c r="BQ116" s="160"/>
      <c r="BR116" s="150"/>
      <c r="BS116" s="150"/>
      <c r="BT116" s="176"/>
      <c r="BU116" s="168"/>
      <c r="BV116" s="149"/>
      <c r="BW116" s="149"/>
      <c r="BX116" s="157"/>
      <c r="BY116" s="160"/>
      <c r="BZ116" s="150"/>
      <c r="CA116" s="150"/>
      <c r="CB116" s="176"/>
      <c r="CC116" s="168"/>
      <c r="CD116" s="149"/>
      <c r="CE116" s="149"/>
      <c r="CF116" s="157"/>
      <c r="CG116" s="160"/>
      <c r="CH116" s="150"/>
      <c r="CI116" s="150"/>
      <c r="CJ116" s="176"/>
      <c r="CK116" s="168"/>
      <c r="CL116" s="149"/>
      <c r="CM116" s="149"/>
      <c r="CN116" s="157"/>
      <c r="CO116" s="160"/>
      <c r="CP116" s="150"/>
      <c r="CQ116" s="150"/>
      <c r="CR116" s="176"/>
      <c r="CS116" s="168"/>
      <c r="CT116" s="149"/>
      <c r="CU116" s="149"/>
      <c r="CV116" s="157"/>
      <c r="CW116" s="160"/>
      <c r="CX116" s="150"/>
      <c r="CY116" s="150"/>
      <c r="CZ116" s="176"/>
      <c r="DA116" s="168"/>
      <c r="DB116" s="149"/>
      <c r="DC116" s="149"/>
      <c r="DD116" s="157"/>
    </row>
    <row r="117" spans="2:108" ht="12.75" hidden="1" customHeight="1" x14ac:dyDescent="0.2">
      <c r="B117" s="183" t="s">
        <v>220</v>
      </c>
      <c r="C117" s="556"/>
      <c r="D117" s="557">
        <v>0</v>
      </c>
      <c r="E117" s="149"/>
      <c r="F117" s="149"/>
      <c r="G117" s="149"/>
      <c r="H117" s="168">
        <f>SUM(I117:AB117)</f>
        <v>0</v>
      </c>
      <c r="I117" s="610">
        <f>-PV(InterestRate,I$8,,(SUM(AC117:AF117)))</f>
        <v>0</v>
      </c>
      <c r="J117" s="610">
        <f>-PV(InterestRate,J$8,,(SUM(AG117:AJ117)))</f>
        <v>0</v>
      </c>
      <c r="K117" s="610">
        <f>-PV(InterestRate,K$8,,(SUM(AK117:AN117)))</f>
        <v>0</v>
      </c>
      <c r="L117" s="610">
        <f>-PV(InterestRate,L$8,,(SUM(AO117:AR117)))</f>
        <v>0</v>
      </c>
      <c r="M117" s="610">
        <f>-PV(InterestRate,M$8,,(SUM(AS117:AV117)))</f>
        <v>0</v>
      </c>
      <c r="N117" s="610">
        <f>-PV(InterestRate,N$8,,(SUM(AW117:AZ117)))</f>
        <v>0</v>
      </c>
      <c r="O117" s="610">
        <f>-PV(InterestRate,O$8,,(SUM(BA117:BD117)))</f>
        <v>0</v>
      </c>
      <c r="P117" s="610">
        <f>-PV(InterestRate,P$8,,(SUM(BE117:BH117)))</f>
        <v>0</v>
      </c>
      <c r="Q117" s="610">
        <f>-PV(InterestRate,Q$8,,(SUM(BI117:BL117)))</f>
        <v>0</v>
      </c>
      <c r="R117" s="610">
        <f>-PV(InterestRate,R$8,,(SUM(BM117:BP117)))</f>
        <v>0</v>
      </c>
      <c r="S117" s="610">
        <f>-PV(InterestRate,S$8,,(SUM(BQ117:BT117)))</f>
        <v>0</v>
      </c>
      <c r="T117" s="610">
        <f>-PV(InterestRate,T$8,,(SUM(BU117:BX117)))</f>
        <v>0</v>
      </c>
      <c r="U117" s="610">
        <f>-PV(InterestRate,U$8,,(SUM(BY117:CB117)))</f>
        <v>0</v>
      </c>
      <c r="V117" s="610">
        <f>-PV(InterestRate,V$8,,(SUM(CC117:CF117)))</f>
        <v>0</v>
      </c>
      <c r="W117" s="610">
        <f>-PV(InterestRate,W$8,,(SUM(CG117:CJ117)))</f>
        <v>0</v>
      </c>
      <c r="X117" s="610">
        <f>-PV(InterestRate,X$8,,(SUM(CK117:CN117)))</f>
        <v>0</v>
      </c>
      <c r="Y117" s="610">
        <f>-PV(InterestRate,Y$8,,(SUM(CO117:CR117)))</f>
        <v>0</v>
      </c>
      <c r="Z117" s="610">
        <f>-PV(InterestRate,Z$8,,(SUM(CS117:CV117)))</f>
        <v>0</v>
      </c>
      <c r="AA117" s="610">
        <f>-PV(InterestRate,AA$8,,(SUM(CW117:CZ117)))</f>
        <v>0</v>
      </c>
      <c r="AB117" s="611">
        <f>-PV(InterestRate,AB$8,,(SUM(DA117:DD117)))</f>
        <v>0</v>
      </c>
      <c r="AC117" s="160">
        <f>IF($C117&gt;0,(IF($C117=$AC$7,$D117,0)),0)</f>
        <v>0</v>
      </c>
      <c r="AD117" s="150">
        <f>IF($C117&gt;0,(IF($AC$7&gt;=$C117+1,$E117,0)),0)</f>
        <v>0</v>
      </c>
      <c r="AE117" s="150">
        <f>IF($C117&gt;0,(IF($C117=$AC$7,$F117,0)),0)</f>
        <v>0</v>
      </c>
      <c r="AF117" s="165">
        <f>IF($C117&gt;0,(IF($AC$7&gt;=$C117+1,$G117,0)),0)</f>
        <v>0</v>
      </c>
      <c r="AG117" s="168">
        <f>IF($C117&gt;0,(IF($C117=$AG$7,(-FV(InflationRate,$AG$7,,$D117)),0)),0)</f>
        <v>0</v>
      </c>
      <c r="AH117" s="149">
        <f>IF($C117&gt;0,(IF($AG$7&gt;=$C117+1, (-FV(InflationRate,$AG$7,,$E117)), 0)),0)</f>
        <v>0</v>
      </c>
      <c r="AI117" s="149">
        <f>IF($C117&gt;0,(IF($AG$7&gt;=$C117+1, (-FV(InflationRate,$AG$7,,$F117)), 0)),0)</f>
        <v>0</v>
      </c>
      <c r="AJ117" s="171">
        <f>IF($C117&gt;0,(IF($AG$7&gt;=$C117+1, (-FV(InflationRate,$AG$7,,$G117)), 0)),0)</f>
        <v>0</v>
      </c>
      <c r="AK117" s="160">
        <f>IF($C117&gt;0,(IF($C117=$AK$7,(-FV(InflationRate,$AK$7,,$D117)),0)),0)</f>
        <v>0</v>
      </c>
      <c r="AL117" s="150">
        <f>IF($C117&gt;0,(IF($AK$7&gt;=$C117+1, (-FV(InflationRate,$AK$7,,$E117)), 0)),0)</f>
        <v>0</v>
      </c>
      <c r="AM117" s="150">
        <f>IF($C117&gt;0,(IF($AK$7&gt;=$C117+1, (-FV(InflationRate,$AK$7,,$F117)), 0)),0)</f>
        <v>0</v>
      </c>
      <c r="AN117" s="165">
        <f>IF($C117&gt;0,(IF($AK$7&gt;=$C117+1, (-FV(InflationRate,$AK$7,,$G117)), 0)),0)</f>
        <v>0</v>
      </c>
      <c r="AO117" s="168">
        <f>IF($C117&gt;0,(IF($C117=$AO$7,(-FV(InflationRate,$AO$7,,$D117)),0)),0)</f>
        <v>0</v>
      </c>
      <c r="AP117" s="149">
        <f>IF($C117&gt;0,(IF($AO$7&gt;=$C117+1, (-FV(InflationRate,$AO$7,,$E117)), 0)),0)</f>
        <v>0</v>
      </c>
      <c r="AQ117" s="149">
        <f>IF($C117&gt;0,(IF($AO$7&gt;=$C117+1, (-FV(InflationRate,$AO$7,,$F117)), 0)),0)</f>
        <v>0</v>
      </c>
      <c r="AR117" s="157">
        <f>IF($C117&gt;0,(IF($AO$7&gt;=$C117+1, (-FV(InflationRate,$AO$7,,$G117)), 0)),0)</f>
        <v>0</v>
      </c>
      <c r="AS117" s="160">
        <f>IF($C117&gt;0,(IF($C117=$AS$7,(-FV(InflationRate,$AS$7,,$D117)),0)),0)</f>
        <v>0</v>
      </c>
      <c r="AT117" s="150">
        <f>IF($C117&gt;0,(IF($AS$7&gt;=$C117+1, (-FV(InflationRate,$AS$7,,$E117)), 0)),0)</f>
        <v>0</v>
      </c>
      <c r="AU117" s="150">
        <f>IF($C117&gt;0,(IF($AS$7&gt;=$C117+1, (-FV(InflationRate,$AS$7,,$F117)), 0)),0)</f>
        <v>0</v>
      </c>
      <c r="AV117" s="165">
        <f>IF($C117&gt;0,(IF($AS$7&gt;=$C117+1, (-FV(InflationRate,$AS$7,,$G117)), 0)),0)</f>
        <v>0</v>
      </c>
      <c r="AW117" s="168">
        <f>IF($C117&gt;0,(IF($C117=$AW$7,(-FV(InflationRate,$AW$7,,$D117)),0)),0)</f>
        <v>0</v>
      </c>
      <c r="AX117" s="149">
        <f>IF($C117&gt;0,(IF($AW$7&gt;=$C117+1, (-FV(InflationRate,$AW$7,,$E117)), 0)),0)</f>
        <v>0</v>
      </c>
      <c r="AY117" s="149">
        <f>IF($C117&gt;0,(IF($AW$7&gt;=$C117+1, (-FV(InflationRate,$AW$7,,$F117)), 0)),0)</f>
        <v>0</v>
      </c>
      <c r="AZ117" s="157">
        <f>IF($C117&gt;0,(IF($AW$7&gt;=$C117+1, (-FV(InflationRate,$AW$7,,$G117)), 0)),0)</f>
        <v>0</v>
      </c>
      <c r="BA117" s="160">
        <f>IF($C117&gt;0,(IF($C117=$BA$7,(-FV(InflationRate,$BA$7,,$D117)),0)),0)</f>
        <v>0</v>
      </c>
      <c r="BB117" s="150">
        <f>IF($C117&gt;0,(IF($BA$7&gt;=$C117+1, (-FV(InflationRate,$BA$7,,$E117)), 0)),0)</f>
        <v>0</v>
      </c>
      <c r="BC117" s="150">
        <f>IF($C117&gt;0,(IF($BA$7&gt;=$C117+1, (-FV(InflationRate,$BA$7,,$F117)), 0)),0)</f>
        <v>0</v>
      </c>
      <c r="BD117" s="176">
        <f>IF($C117&gt;0,(IF($BA$7&gt;=$C117+1, (-FV(InflationRate,$BA$7,,$G117)), 0)),0)</f>
        <v>0</v>
      </c>
      <c r="BE117" s="168">
        <f>IF($C117&gt;0,(IF($C117=$BE$7,(-FV(InflationRate,$BE$7,,$D117)),0)),0)</f>
        <v>0</v>
      </c>
      <c r="BF117" s="149">
        <f>IF($C117&gt;0,(IF($BE$7&gt;=$C117+1, (-FV(InflationRate,$BE$7,,$E117)), 0)),0)</f>
        <v>0</v>
      </c>
      <c r="BG117" s="149">
        <f>IF($C117&gt;0,(IF($BE$7&gt;=$C117+1, (-FV(InflationRate,$BE$7,,$F117)), 0)),0)</f>
        <v>0</v>
      </c>
      <c r="BH117" s="171">
        <f>IF($C117&gt;0,(IF($BE$7&gt;=$C117+1, (-FV(InflationRate,$BE$7,,$G117)), 0)),0)</f>
        <v>0</v>
      </c>
      <c r="BI117" s="160">
        <f>IF($C117&gt;0,(IF($C117=$BI$7,(-FV(InflationRate,$BI$7,,$D117)),0)),0)</f>
        <v>0</v>
      </c>
      <c r="BJ117" s="150">
        <f>IF($C117&gt;0,(IF($BI$7&gt;=$C117+1, (-FV(InflationRate,$BI$7,,$E117)), 0)),0)</f>
        <v>0</v>
      </c>
      <c r="BK117" s="150">
        <f>IF($C117&gt;0,(IF($BI$7&gt;=$C117+1, (-FV(InflationRate,$BI$7,,$F117)), 0)),0)</f>
        <v>0</v>
      </c>
      <c r="BL117" s="176">
        <f>IF($C117&gt;0,(IF($BI$7&gt;=$C117+1, (-FV(InflationRate,$BI$7,,$G117)), 0)),0)</f>
        <v>0</v>
      </c>
      <c r="BM117" s="168">
        <f>IF($C117&gt;0,(IF($C117=$BM$7,(-FV(InflationRate,$BM$7,,$D117)),0)),0)</f>
        <v>0</v>
      </c>
      <c r="BN117" s="149">
        <f>IF($C117&gt;0,(IF($BM$7&gt;=$C117+1, (-FV(InflationRate,$BM$7,,$E117)), 0)),0)</f>
        <v>0</v>
      </c>
      <c r="BO117" s="149">
        <f>IF($C117&gt;0,(IF($BM$7&gt;=$C117+1, (-FV(InflationRate,$BM$7,,$F117)), 0)),0)</f>
        <v>0</v>
      </c>
      <c r="BP117" s="157">
        <f>IF($C117&gt;0,(IF($BM$7&gt;=$C117+1, (-FV(InflationRate,$BM$7,,$G117)), 0)),0)</f>
        <v>0</v>
      </c>
      <c r="BQ117" s="160">
        <f>IF($C117&gt;0,(IF($C117=$BQ$7,(-FV(InflationRate,$BQ$7,,$D117)),0)),0)</f>
        <v>0</v>
      </c>
      <c r="BR117" s="150">
        <f>IF($C117&gt;0,(IF($BQ$7&gt;=$C117+1, (-FV(InflationRate,$BQ$7,,$E117)), 0)),0)</f>
        <v>0</v>
      </c>
      <c r="BS117" s="150">
        <f>IF($C117&gt;0,(IF($BQ$7&gt;=$C117+1, (-FV(InflationRate,$BQ$7,,$F117)), 0)),0)</f>
        <v>0</v>
      </c>
      <c r="BT117" s="176">
        <f>IF($C117&gt;0,(IF($BQ$7&gt;=$C117+1, (-FV(InflationRate,$BQ$7,,$G117)), 0)),0)</f>
        <v>0</v>
      </c>
      <c r="BU117" s="168">
        <f>IF($C117&gt;0,(IF($C117=$BU$7,(-FV(InflationRate,$BU$7,,$D117)),0)),0)</f>
        <v>0</v>
      </c>
      <c r="BV117" s="149">
        <f>IF($C117&gt;0,(IF($BU$7&gt;=$C117+1, (-FV(InflationRate,$BU$7,,$E117)), 0)),0)</f>
        <v>0</v>
      </c>
      <c r="BW117" s="149">
        <f>IF($C117&gt;0,(IF($BU$7&gt;=$C117+1, (-FV(InflationRate,$BU$7,,$F117)), 0)),0)</f>
        <v>0</v>
      </c>
      <c r="BX117" s="157">
        <f>IF($C117&gt;0,(IF($BU$7&gt;=$C117+1, (-FV(InflationRate,$BU$7,,$G117)), 0)),0)</f>
        <v>0</v>
      </c>
      <c r="BY117" s="160">
        <f>IF($C117&gt;0,(IF($C117=$BY$7,(-FV(InflationRate,$BY$7,,$D117)),0)),0)</f>
        <v>0</v>
      </c>
      <c r="BZ117" s="150">
        <f>IF($C117&gt;0,(IF($BY$7&gt;=$C117+1, (-FV(InflationRate,$BY$7,,$E117)), 0)),0)</f>
        <v>0</v>
      </c>
      <c r="CA117" s="150">
        <f>IF($C117&gt;0,(IF($BY$7&gt;=$C117+1, (-FV(InflationRate,$BY$7,,$F117)), 0)),0)</f>
        <v>0</v>
      </c>
      <c r="CB117" s="176">
        <f>IF($C117&gt;0,(IF($BY$7&gt;=$C117+1, (-FV(InflationRate,$BY$7,,$G117)), 0)),0)</f>
        <v>0</v>
      </c>
      <c r="CC117" s="168">
        <f>IF($C117&gt;0,(IF($C117=$CC$7,(-FV(InflationRate,$CC$7,,$D117)),0)),0)</f>
        <v>0</v>
      </c>
      <c r="CD117" s="149">
        <f>IF($C117&gt;0,(IF($CC$7&gt;=$C117+1, (-FV(InflationRate,$CC$7,,$E117)), 0)),0)</f>
        <v>0</v>
      </c>
      <c r="CE117" s="149">
        <f>IF($C117&gt;0,(IF($CC$7&gt;=$C117+1, (-FV(InflationRate,$CC$7,,$F117)), 0)),0)</f>
        <v>0</v>
      </c>
      <c r="CF117" s="157">
        <f>IF($C117&gt;0,(IF($CC$7&gt;=$C117+1, (-FV(InflationRate,$CC$7,,$G117)), 0)),0)</f>
        <v>0</v>
      </c>
      <c r="CG117" s="160">
        <f>IF($C117&gt;0,(IF($C117=$CG$7,(-FV(InflationRate,$CG$7,,$D117)),0)),0)</f>
        <v>0</v>
      </c>
      <c r="CH117" s="150">
        <f>IF($C117&gt;0,(IF($CG$7&gt;=$C117+1, (-FV(InflationRate,$CG$7,,$E117)), 0)),0)</f>
        <v>0</v>
      </c>
      <c r="CI117" s="150">
        <f>IF($C117&gt;0,(IF($CG$7&gt;=$C117+1, (-FV(InflationRate,$CG$7,,$F117)), 0)),0)</f>
        <v>0</v>
      </c>
      <c r="CJ117" s="176">
        <f>IF($C117&gt;0,(IF($CG$7&gt;=$C117+1, (-FV(InflationRate,$CG$7,,$G117)), 0)),0)</f>
        <v>0</v>
      </c>
      <c r="CK117" s="168">
        <f>IF($C117&gt;0,(IF($C117=$CK$7,(-FV(InflationRate,$CK$7,,$D117)),0)),0)</f>
        <v>0</v>
      </c>
      <c r="CL117" s="149">
        <f>IF($C117&gt;0,(IF($CK$7&gt;=$C117+1, (-FV(InflationRate,$CK$7,,$E117)), 0)),0)</f>
        <v>0</v>
      </c>
      <c r="CM117" s="149">
        <f>IF($C117&gt;0,(IF($CK$7&gt;=$C117+1, (-FV(InflationRate,$CK$7,,$F117)), 0)),0)</f>
        <v>0</v>
      </c>
      <c r="CN117" s="157">
        <f>IF($C117&gt;0,(IF($CK$7&gt;=$C117+1, (-FV(InflationRate,$CK$7,,$G117)), 0)),0)</f>
        <v>0</v>
      </c>
      <c r="CO117" s="160">
        <f>IF($C117&gt;0,(IF($C117=$CO$7,(-FV(InflationRate,$CO$7,,$D117)),0)),0)</f>
        <v>0</v>
      </c>
      <c r="CP117" s="150">
        <f>IF($C117&gt;0,(IF($CO$7&gt;=$C117+1, (-FV(InflationRate,$CO$7,,$E117)), 0)),0)</f>
        <v>0</v>
      </c>
      <c r="CQ117" s="150">
        <f>IF($C117&gt;0,(IF($CO$7&gt;=$C117+1, (-FV(InflationRate,$CO$7,,$F117)), 0)),0)</f>
        <v>0</v>
      </c>
      <c r="CR117" s="176">
        <f>IF($C117&gt;0,(IF($CO$7&gt;=$C117+1, (-FV(InflationRate,$CO$7,,$G117)), 0)),0)</f>
        <v>0</v>
      </c>
      <c r="CS117" s="168">
        <f>IF($C117&gt;0,(IF($C117=$CS$7,(-FV(InflationRate,$CS$7,,$D117)),0)),0)</f>
        <v>0</v>
      </c>
      <c r="CT117" s="149">
        <f>IF($C117&gt;0,(IF($CS$7&gt;=$C117+1, (-FV(InflationRate,$CS$7,,$E117)), 0)),0)</f>
        <v>0</v>
      </c>
      <c r="CU117" s="149">
        <f>IF($C117&gt;0,(IF($CS$7&gt;=$C117+1, (-FV(InflationRate,$CS$7,,$F117)), 0)),0)</f>
        <v>0</v>
      </c>
      <c r="CV117" s="157">
        <f>IF($C117&gt;0,(IF($CS$7&gt;=$C117+1, (-FV(InflationRate,$CS$7,,$G117)), 0)),0)</f>
        <v>0</v>
      </c>
      <c r="CW117" s="160">
        <f>IF($C117&gt;0,(IF($C117=$CW$7,(-FV(InflationRate,$CW$7,,$D117)),0)),0)</f>
        <v>0</v>
      </c>
      <c r="CX117" s="150">
        <f>IF($C117&gt;0,(IF($CW$7&gt;=$C117+1, (-FV(InflationRate,$CW$7,,$E117)), 0)),0)</f>
        <v>0</v>
      </c>
      <c r="CY117" s="150">
        <f>IF($C117&gt;0,(IF($CW$7&gt;=$C117+1, (-FV(InflationRate,$CW$7,,$F117)), 0)),0)</f>
        <v>0</v>
      </c>
      <c r="CZ117" s="176">
        <f>IF($C117&gt;0,(IF($CW$7&gt;=$C117+1, (-FV(InflationRate,$CW$7,,$G117)), 0)),0)</f>
        <v>0</v>
      </c>
      <c r="DA117" s="168">
        <f>IF($C117&gt;0,(IF($C117=$DA$7,(-FV(InflationRate,$DA$7,,$D117)),0)),0)</f>
        <v>0</v>
      </c>
      <c r="DB117" s="149">
        <f>IF($C117&gt;0,(IF($DA$7&gt;=$C117+1, (-FV(InflationRate,$DA$7,,$E117)), 0)),0)</f>
        <v>0</v>
      </c>
      <c r="DC117" s="149">
        <f>IF($C117&gt;0,(IF($DA$7&gt;=$C117+1, (-FV(InflationRate,$DA$7,,$F117)), 0)),0)</f>
        <v>0</v>
      </c>
      <c r="DD117" s="157">
        <f>IF($C117&gt;0,(IF($DA$7&gt;=$C117+1, (-FV(InflationRate,$DA$7,,$G117)), 0)),0)</f>
        <v>0</v>
      </c>
    </row>
    <row r="118" spans="2:108" ht="12.75" hidden="1" customHeight="1" x14ac:dyDescent="0.2">
      <c r="B118" s="183" t="s">
        <v>270</v>
      </c>
      <c r="C118" s="556"/>
      <c r="D118" s="168">
        <f>D103-D105-D106-D109-D110-D113-D114-D117</f>
        <v>0</v>
      </c>
      <c r="E118" s="149">
        <f>E103-E106-E110-E114</f>
        <v>0</v>
      </c>
      <c r="F118" s="149"/>
      <c r="G118" s="149">
        <f>G103-G106-G110-G114</f>
        <v>0</v>
      </c>
      <c r="H118" s="168">
        <f>SUM(I118:AB118)</f>
        <v>0</v>
      </c>
      <c r="I118" s="610">
        <f>-PV(InterestRate,I$8,,(SUM(AC118:AF118)))</f>
        <v>0</v>
      </c>
      <c r="J118" s="610">
        <f>-PV(InterestRate,J$8,,(SUM(AG118:AJ118)))</f>
        <v>0</v>
      </c>
      <c r="K118" s="610">
        <f>-PV(InterestRate,K$8,,(SUM(AK118:AN118)))</f>
        <v>0</v>
      </c>
      <c r="L118" s="610">
        <f>-PV(InterestRate,L$8,,(SUM(AO118:AR118)))</f>
        <v>0</v>
      </c>
      <c r="M118" s="610">
        <f>-PV(InterestRate,M$8,,(SUM(AS118:AV118)))</f>
        <v>0</v>
      </c>
      <c r="N118" s="610">
        <f>-PV(InterestRate,N$8,,(SUM(AW118:AZ118)))</f>
        <v>0</v>
      </c>
      <c r="O118" s="610">
        <f>-PV(InterestRate,O$8,,(SUM(BA118:BD118)))</f>
        <v>0</v>
      </c>
      <c r="P118" s="610">
        <f>-PV(InterestRate,P$8,,(SUM(BE118:BH118)))</f>
        <v>0</v>
      </c>
      <c r="Q118" s="610">
        <f>-PV(InterestRate,Q$8,,(SUM(BI118:BL118)))</f>
        <v>0</v>
      </c>
      <c r="R118" s="610">
        <f>-PV(InterestRate,R$8,,(SUM(BM118:BP118)))</f>
        <v>0</v>
      </c>
      <c r="S118" s="610">
        <f>-PV(InterestRate,S$8,,(SUM(BQ118:BT118)))</f>
        <v>0</v>
      </c>
      <c r="T118" s="610">
        <f>-PV(InterestRate,T$8,,(SUM(BU118:BX118)))</f>
        <v>0</v>
      </c>
      <c r="U118" s="610">
        <f>-PV(InterestRate,U$8,,(SUM(BY118:CB118)))</f>
        <v>0</v>
      </c>
      <c r="V118" s="610">
        <f>-PV(InterestRate,V$8,,(SUM(CC118:CF118)))</f>
        <v>0</v>
      </c>
      <c r="W118" s="610">
        <f>-PV(InterestRate,W$8,,(SUM(CG118:CJ118)))</f>
        <v>0</v>
      </c>
      <c r="X118" s="610">
        <f>-PV(InterestRate,X$8,,(SUM(CK118:CN118)))</f>
        <v>0</v>
      </c>
      <c r="Y118" s="610">
        <f>-PV(InterestRate,Y$8,,(SUM(CO118:CR118)))</f>
        <v>0</v>
      </c>
      <c r="Z118" s="610">
        <f>-PV(InterestRate,Z$8,,(SUM(CS118:CV118)))</f>
        <v>0</v>
      </c>
      <c r="AA118" s="610">
        <f>-PV(InterestRate,AA$8,,(SUM(CW118:CZ118)))</f>
        <v>0</v>
      </c>
      <c r="AB118" s="611">
        <f>-PV(InterestRate,AB$8,,(SUM(DA118:DD118)))</f>
        <v>0</v>
      </c>
      <c r="AC118" s="160">
        <f>IF($C118&gt;0,(IF($C118=$AC$7,$D118,0)),0)</f>
        <v>0</v>
      </c>
      <c r="AD118" s="150">
        <f>IF($C118&gt;0,(IF($AC$7&gt;=$C118+1,$E118,0)),0)</f>
        <v>0</v>
      </c>
      <c r="AE118" s="150">
        <f>IF($C118&gt;0,(IF($C118=$AC$7,$F118,0)),0)</f>
        <v>0</v>
      </c>
      <c r="AF118" s="165">
        <f>IF($C118&gt;0,(IF($AC$7&gt;=$C118+1,$G118,0)),0)</f>
        <v>0</v>
      </c>
      <c r="AG118" s="168">
        <f>IF($C118&gt;0,(IF($C118=$AG$7,(-FV(InflationRate,$AG$7,,$D118)),0)),0)</f>
        <v>0</v>
      </c>
      <c r="AH118" s="149">
        <f>IF($C118&gt;0,(IF($AG$7&gt;=$C118+1, (-FV(InflationRate,$AG$7,,$E118)), 0)),0)</f>
        <v>0</v>
      </c>
      <c r="AI118" s="149">
        <f>IF($C118&gt;0,(IF($AG$7&gt;=$C118+1, (-FV(InflationRate,$AG$7,,$F118)), 0)),0)</f>
        <v>0</v>
      </c>
      <c r="AJ118" s="171">
        <f>IF($C118&gt;0,(IF($AG$7&gt;=$C118+1, (-FV(InflationRate,$AG$7,,$G118)), 0)),0)</f>
        <v>0</v>
      </c>
      <c r="AK118" s="160">
        <f>IF($C118&gt;0,(IF($C118=$AK$7,(-FV(InflationRate,$AK$7,,$D118)),0)),0)</f>
        <v>0</v>
      </c>
      <c r="AL118" s="150">
        <f>IF($C118&gt;0,(IF($AK$7&gt;=$C118+1, (-FV(InflationRate,$AK$7,,$E118)), 0)),0)</f>
        <v>0</v>
      </c>
      <c r="AM118" s="150">
        <f>IF($C118&gt;0,(IF($AK$7&gt;=$C118+1, (-FV(InflationRate,$AK$7,,$F118)), 0)),0)</f>
        <v>0</v>
      </c>
      <c r="AN118" s="165">
        <f>IF($C118&gt;0,(IF($AK$7&gt;=$C118+1, (-FV(InflationRate,$AK$7,,$G118)), 0)),0)</f>
        <v>0</v>
      </c>
      <c r="AO118" s="168">
        <f>IF($C118&gt;0,(IF($C118=$AO$7,(-FV(InflationRate,$AO$7,,$D118)),0)),0)</f>
        <v>0</v>
      </c>
      <c r="AP118" s="149">
        <f>IF($C118&gt;0,(IF($AO$7&gt;=$C118+1, (-FV(InflationRate,$AO$7,,$E118)), 0)),0)</f>
        <v>0</v>
      </c>
      <c r="AQ118" s="149">
        <f>IF($C118&gt;0,(IF($AO$7&gt;=$C118+1, (-FV(InflationRate,$AO$7,,$F118)), 0)),0)</f>
        <v>0</v>
      </c>
      <c r="AR118" s="157">
        <f>IF($C118&gt;0,(IF($AO$7&gt;=$C118+1, (-FV(InflationRate,$AO$7,,$G118)), 0)),0)</f>
        <v>0</v>
      </c>
      <c r="AS118" s="160">
        <f>IF($C118&gt;0,(IF($C118=$AS$7,(-FV(InflationRate,$AS$7,,$D118)),0)),0)</f>
        <v>0</v>
      </c>
      <c r="AT118" s="150">
        <f>IF($C118&gt;0,(IF($AS$7&gt;=$C118+1, (-FV(InflationRate,$AS$7,,$E118)), 0)),0)</f>
        <v>0</v>
      </c>
      <c r="AU118" s="150">
        <f>IF($C118&gt;0,(IF($AS$7&gt;=$C118+1, (-FV(InflationRate,$AS$7,,$F118)), 0)),0)</f>
        <v>0</v>
      </c>
      <c r="AV118" s="165">
        <f>IF($C118&gt;0,(IF($AS$7&gt;=$C118+1, (-FV(InflationRate,$AS$7,,$G118)), 0)),0)</f>
        <v>0</v>
      </c>
      <c r="AW118" s="168">
        <f>IF($C118&gt;0,(IF($C118=$AW$7,(-FV(InflationRate,$AW$7,,$D118)),0)),0)</f>
        <v>0</v>
      </c>
      <c r="AX118" s="149">
        <f>IF($C118&gt;0,(IF($AW$7&gt;=$C118+1, (-FV(InflationRate,$AW$7,,$E118)), 0)),0)</f>
        <v>0</v>
      </c>
      <c r="AY118" s="149">
        <f>IF($C118&gt;0,(IF($AW$7&gt;=$C118+1, (-FV(InflationRate,$AW$7,,$F118)), 0)),0)</f>
        <v>0</v>
      </c>
      <c r="AZ118" s="157">
        <f>IF($C118&gt;0,(IF($AW$7&gt;=$C118+1, (-FV(InflationRate,$AW$7,,$G118)), 0)),0)</f>
        <v>0</v>
      </c>
      <c r="BA118" s="160">
        <f>IF($C118&gt;0,(IF($C118=$BA$7,(-FV(InflationRate,$BA$7,,$D118)),0)),0)</f>
        <v>0</v>
      </c>
      <c r="BB118" s="150">
        <f>IF($C118&gt;0,(IF($BA$7&gt;=$C118+1, (-FV(InflationRate,$BA$7,,$E118)), 0)),0)</f>
        <v>0</v>
      </c>
      <c r="BC118" s="150">
        <f>IF($C118&gt;0,(IF($BA$7&gt;=$C118+1, (-FV(InflationRate,$BA$7,,$F118)), 0)),0)</f>
        <v>0</v>
      </c>
      <c r="BD118" s="176">
        <f>IF($C118&gt;0,(IF($BA$7&gt;=$C118+1, (-FV(InflationRate,$BA$7,,$G118)), 0)),0)</f>
        <v>0</v>
      </c>
      <c r="BE118" s="168">
        <f>IF($C118&gt;0,(IF($C118=$BE$7,(-FV(InflationRate,$BE$7,,$D118)),0)),0)</f>
        <v>0</v>
      </c>
      <c r="BF118" s="149">
        <f>IF($C118&gt;0,(IF($BE$7&gt;=$C118+1, (-FV(InflationRate,$BE$7,,$E118)), 0)),0)</f>
        <v>0</v>
      </c>
      <c r="BG118" s="149">
        <f>IF($C118&gt;0,(IF($BE$7&gt;=$C118+1, (-FV(InflationRate,$BE$7,,$F118)), 0)),0)</f>
        <v>0</v>
      </c>
      <c r="BH118" s="171">
        <f>IF($C118&gt;0,(IF($BE$7&gt;=$C118+1, (-FV(InflationRate,$BE$7,,$G118)), 0)),0)</f>
        <v>0</v>
      </c>
      <c r="BI118" s="160">
        <f>IF($C118&gt;0,(IF($C118=$BI$7,(-FV(InflationRate,$BI$7,,$D118)),0)),0)</f>
        <v>0</v>
      </c>
      <c r="BJ118" s="150">
        <f>IF($C118&gt;0,(IF($BI$7&gt;=$C118+1, (-FV(InflationRate,$BI$7,,$E118)), 0)),0)</f>
        <v>0</v>
      </c>
      <c r="BK118" s="150">
        <f>IF($C118&gt;0,(IF($BI$7&gt;=$C118+1, (-FV(InflationRate,$BI$7,,$F118)), 0)),0)</f>
        <v>0</v>
      </c>
      <c r="BL118" s="176">
        <f>IF($C118&gt;0,(IF($BI$7&gt;=$C118+1, (-FV(InflationRate,$BI$7,,$G118)), 0)),0)</f>
        <v>0</v>
      </c>
      <c r="BM118" s="168">
        <f>IF($C118&gt;0,(IF($C118=$BM$7,(-FV(InflationRate,$BM$7,,$D118)),0)),0)</f>
        <v>0</v>
      </c>
      <c r="BN118" s="149">
        <f>IF($C118&gt;0,(IF($BM$7&gt;=$C118+1, (-FV(InflationRate,$BM$7,,$E118)), 0)),0)</f>
        <v>0</v>
      </c>
      <c r="BO118" s="149">
        <f>IF($C118&gt;0,(IF($BM$7&gt;=$C118+1, (-FV(InflationRate,$BM$7,,$F118)), 0)),0)</f>
        <v>0</v>
      </c>
      <c r="BP118" s="157">
        <f>IF($C118&gt;0,(IF($BM$7&gt;=$C118+1, (-FV(InflationRate,$BM$7,,$G118)), 0)),0)</f>
        <v>0</v>
      </c>
      <c r="BQ118" s="160">
        <f>IF($C118&gt;0,(IF($C118=$BQ$7,(-FV(InflationRate,$BQ$7,,$D118)),0)),0)</f>
        <v>0</v>
      </c>
      <c r="BR118" s="150">
        <f>IF($C118&gt;0,(IF($BQ$7&gt;=$C118+1, (-FV(InflationRate,$BQ$7,,$E118)), 0)),0)</f>
        <v>0</v>
      </c>
      <c r="BS118" s="150">
        <f>IF($C118&gt;0,(IF($BQ$7&gt;=$C118+1, (-FV(InflationRate,$BQ$7,,$F118)), 0)),0)</f>
        <v>0</v>
      </c>
      <c r="BT118" s="176">
        <f>IF($C118&gt;0,(IF($BQ$7&gt;=$C118+1, (-FV(InflationRate,$BQ$7,,$G118)), 0)),0)</f>
        <v>0</v>
      </c>
      <c r="BU118" s="168">
        <f>IF($C118&gt;0,(IF($C118=$BU$7,(-FV(InflationRate,$BU$7,,$D118)),0)),0)</f>
        <v>0</v>
      </c>
      <c r="BV118" s="149">
        <f>IF($C118&gt;0,(IF($BU$7&gt;=$C118+1, (-FV(InflationRate,$BU$7,,$E118)), 0)),0)</f>
        <v>0</v>
      </c>
      <c r="BW118" s="149">
        <f>IF($C118&gt;0,(IF($BU$7&gt;=$C118+1, (-FV(InflationRate,$BU$7,,$F118)), 0)),0)</f>
        <v>0</v>
      </c>
      <c r="BX118" s="157">
        <f>IF($C118&gt;0,(IF($BU$7&gt;=$C118+1, (-FV(InflationRate,$BU$7,,$G118)), 0)),0)</f>
        <v>0</v>
      </c>
      <c r="BY118" s="160">
        <f>IF($C118&gt;0,(IF($C118=$BY$7,(-FV(InflationRate,$BY$7,,$D118)),0)),0)</f>
        <v>0</v>
      </c>
      <c r="BZ118" s="150">
        <f>IF($C118&gt;0,(IF($BY$7&gt;=$C118+1, (-FV(InflationRate,$BY$7,,$E118)), 0)),0)</f>
        <v>0</v>
      </c>
      <c r="CA118" s="150">
        <f>IF($C118&gt;0,(IF($BY$7&gt;=$C118+1, (-FV(InflationRate,$BY$7,,$F118)), 0)),0)</f>
        <v>0</v>
      </c>
      <c r="CB118" s="176">
        <f>IF($C118&gt;0,(IF($BY$7&gt;=$C118+1, (-FV(InflationRate,$BY$7,,$G118)), 0)),0)</f>
        <v>0</v>
      </c>
      <c r="CC118" s="168">
        <f>IF($C118&gt;0,(IF($C118=$CC$7,(-FV(InflationRate,$CC$7,,$D118)),0)),0)</f>
        <v>0</v>
      </c>
      <c r="CD118" s="149">
        <f>IF($C118&gt;0,(IF($CC$7&gt;=$C118+1, (-FV(InflationRate,$CC$7,,$E118)), 0)),0)</f>
        <v>0</v>
      </c>
      <c r="CE118" s="149">
        <f>IF($C118&gt;0,(IF($CC$7&gt;=$C118+1, (-FV(InflationRate,$CC$7,,$F118)), 0)),0)</f>
        <v>0</v>
      </c>
      <c r="CF118" s="157">
        <f>IF($C118&gt;0,(IF($CC$7&gt;=$C118+1, (-FV(InflationRate,$CC$7,,$G118)), 0)),0)</f>
        <v>0</v>
      </c>
      <c r="CG118" s="160">
        <f>IF($C118&gt;0,(IF($C118=$CG$7,(-FV(InflationRate,$CG$7,,$D118)),0)),0)</f>
        <v>0</v>
      </c>
      <c r="CH118" s="150">
        <f>IF($C118&gt;0,(IF($CG$7&gt;=$C118+1, (-FV(InflationRate,$CG$7,,$E118)), 0)),0)</f>
        <v>0</v>
      </c>
      <c r="CI118" s="150">
        <f>IF($C118&gt;0,(IF($CG$7&gt;=$C118+1, (-FV(InflationRate,$CG$7,,$F118)), 0)),0)</f>
        <v>0</v>
      </c>
      <c r="CJ118" s="176">
        <f>IF($C118&gt;0,(IF($CG$7&gt;=$C118+1, (-FV(InflationRate,$CG$7,,$G118)), 0)),0)</f>
        <v>0</v>
      </c>
      <c r="CK118" s="168">
        <f>IF($C118&gt;0,(IF($C118=$CK$7,(-FV(InflationRate,$CK$7,,$D118)),0)),0)</f>
        <v>0</v>
      </c>
      <c r="CL118" s="149">
        <f>IF($C118&gt;0,(IF($CK$7&gt;=$C118+1, (-FV(InflationRate,$CK$7,,$E118)), 0)),0)</f>
        <v>0</v>
      </c>
      <c r="CM118" s="149">
        <f>IF($C118&gt;0,(IF($CK$7&gt;=$C118+1, (-FV(InflationRate,$CK$7,,$F118)), 0)),0)</f>
        <v>0</v>
      </c>
      <c r="CN118" s="157">
        <f>IF($C118&gt;0,(IF($CK$7&gt;=$C118+1, (-FV(InflationRate,$CK$7,,$G118)), 0)),0)</f>
        <v>0</v>
      </c>
      <c r="CO118" s="160">
        <f>IF($C118&gt;0,(IF($C118=$CO$7,(-FV(InflationRate,$CO$7,,$D118)),0)),0)</f>
        <v>0</v>
      </c>
      <c r="CP118" s="150">
        <f>IF($C118&gt;0,(IF($CO$7&gt;=$C118+1, (-FV(InflationRate,$CO$7,,$E118)), 0)),0)</f>
        <v>0</v>
      </c>
      <c r="CQ118" s="150">
        <f>IF($C118&gt;0,(IF($CO$7&gt;=$C118+1, (-FV(InflationRate,$CO$7,,$F118)), 0)),0)</f>
        <v>0</v>
      </c>
      <c r="CR118" s="176">
        <f>IF($C118&gt;0,(IF($CO$7&gt;=$C118+1, (-FV(InflationRate,$CO$7,,$G118)), 0)),0)</f>
        <v>0</v>
      </c>
      <c r="CS118" s="168">
        <f>IF($C118&gt;0,(IF($C118=$CS$7,(-FV(InflationRate,$CS$7,,$D118)),0)),0)</f>
        <v>0</v>
      </c>
      <c r="CT118" s="149">
        <f>IF($C118&gt;0,(IF($CS$7&gt;=$C118+1, (-FV(InflationRate,$CS$7,,$E118)), 0)),0)</f>
        <v>0</v>
      </c>
      <c r="CU118" s="149">
        <f>IF($C118&gt;0,(IF($CS$7&gt;=$C118+1, (-FV(InflationRate,$CS$7,,$F118)), 0)),0)</f>
        <v>0</v>
      </c>
      <c r="CV118" s="157">
        <f>IF($C118&gt;0,(IF($CS$7&gt;=$C118+1, (-FV(InflationRate,$CS$7,,$G118)), 0)),0)</f>
        <v>0</v>
      </c>
      <c r="CW118" s="160">
        <f>IF($C118&gt;0,(IF($C118=$CW$7,(-FV(InflationRate,$CW$7,,$D118)),0)),0)</f>
        <v>0</v>
      </c>
      <c r="CX118" s="150">
        <f>IF($C118&gt;0,(IF($CW$7&gt;=$C118+1, (-FV(InflationRate,$CW$7,,$E118)), 0)),0)</f>
        <v>0</v>
      </c>
      <c r="CY118" s="150">
        <f>IF($C118&gt;0,(IF($CW$7&gt;=$C118+1, (-FV(InflationRate,$CW$7,,$F118)), 0)),0)</f>
        <v>0</v>
      </c>
      <c r="CZ118" s="176">
        <f>IF($C118&gt;0,(IF($CW$7&gt;=$C118+1, (-FV(InflationRate,$CW$7,,$G118)), 0)),0)</f>
        <v>0</v>
      </c>
      <c r="DA118" s="168">
        <f>IF($C118&gt;0,(IF($C118=$DA$7,(-FV(InflationRate,$DA$7,,$D118)),0)),0)</f>
        <v>0</v>
      </c>
      <c r="DB118" s="149">
        <f>IF($C118&gt;0,(IF($DA$7&gt;=$C118+1, (-FV(InflationRate,$DA$7,,$E118)), 0)),0)</f>
        <v>0</v>
      </c>
      <c r="DC118" s="149">
        <f>IF($C118&gt;0,(IF($DA$7&gt;=$C118+1, (-FV(InflationRate,$DA$7,,$F118)), 0)),0)</f>
        <v>0</v>
      </c>
      <c r="DD118" s="157">
        <f>IF($C118&gt;0,(IF($DA$7&gt;=$C118+1, (-FV(InflationRate,$DA$7,,$G118)), 0)),0)</f>
        <v>0</v>
      </c>
    </row>
    <row r="119" spans="2:108" ht="12.75" hidden="1" customHeight="1" x14ac:dyDescent="0.2">
      <c r="B119" s="183" t="s">
        <v>203</v>
      </c>
      <c r="C119" s="556"/>
      <c r="D119" s="169"/>
      <c r="E119" s="155"/>
      <c r="F119" s="155">
        <f>F103-F107-F111-F115</f>
        <v>0</v>
      </c>
      <c r="G119" s="155"/>
      <c r="H119" s="168">
        <f>SUM(I119:AB119)</f>
        <v>0</v>
      </c>
      <c r="I119" s="610">
        <f>-PV(InterestRate,I$8,,(SUM(AC119:AF119)))</f>
        <v>0</v>
      </c>
      <c r="J119" s="610">
        <f>-PV(InterestRate,J$8,,(SUM(AG119:AJ119)))</f>
        <v>0</v>
      </c>
      <c r="K119" s="610">
        <f>-PV(InterestRate,K$8,,(SUM(AK119:AN119)))</f>
        <v>0</v>
      </c>
      <c r="L119" s="610">
        <f>-PV(InterestRate,L$8,,(SUM(AO119:AR119)))</f>
        <v>0</v>
      </c>
      <c r="M119" s="610">
        <f>-PV(InterestRate,M$8,,(SUM(AS119:AV119)))</f>
        <v>0</v>
      </c>
      <c r="N119" s="610">
        <f>-PV(InterestRate,N$8,,(SUM(AW119:AZ119)))</f>
        <v>0</v>
      </c>
      <c r="O119" s="610">
        <f>-PV(InterestRate,O$8,,(SUM(BA119:BD119)))</f>
        <v>0</v>
      </c>
      <c r="P119" s="610">
        <f>-PV(InterestRate,P$8,,(SUM(BE119:BH119)))</f>
        <v>0</v>
      </c>
      <c r="Q119" s="610">
        <f>-PV(InterestRate,Q$8,,(SUM(BI119:BL119)))</f>
        <v>0</v>
      </c>
      <c r="R119" s="610">
        <f>-PV(InterestRate,R$8,,(SUM(BM119:BP119)))</f>
        <v>0</v>
      </c>
      <c r="S119" s="610">
        <f>-PV(InterestRate,S$8,,(SUM(BQ119:BT119)))</f>
        <v>0</v>
      </c>
      <c r="T119" s="610">
        <f>-PV(InterestRate,T$8,,(SUM(BU119:BX119)))</f>
        <v>0</v>
      </c>
      <c r="U119" s="610">
        <f>-PV(InterestRate,U$8,,(SUM(BY119:CB119)))</f>
        <v>0</v>
      </c>
      <c r="V119" s="610">
        <f>-PV(InterestRate,V$8,,(SUM(CC119:CF119)))</f>
        <v>0</v>
      </c>
      <c r="W119" s="610">
        <f>-PV(InterestRate,W$8,,(SUM(CG119:CJ119)))</f>
        <v>0</v>
      </c>
      <c r="X119" s="610">
        <f>-PV(InterestRate,X$8,,(SUM(CK119:CN119)))</f>
        <v>0</v>
      </c>
      <c r="Y119" s="610">
        <f>-PV(InterestRate,Y$8,,(SUM(CO119:CR119)))</f>
        <v>0</v>
      </c>
      <c r="Z119" s="610">
        <f>-PV(InterestRate,Z$8,,(SUM(CS119:CV119)))</f>
        <v>0</v>
      </c>
      <c r="AA119" s="610">
        <f>-PV(InterestRate,AA$8,,(SUM(CW119:CZ119)))</f>
        <v>0</v>
      </c>
      <c r="AB119" s="611">
        <f>-PV(InterestRate,AB$8,,(SUM(DA119:DD119)))</f>
        <v>0</v>
      </c>
      <c r="AC119" s="174">
        <f>IF($C119&gt;0,(IF($C119=$AC$7,$D119,0)),0)</f>
        <v>0</v>
      </c>
      <c r="AD119" s="150">
        <f>IF($C119&gt;0,(IF($AC$7&gt;=$C119+1,$E119,0)),0)</f>
        <v>0</v>
      </c>
      <c r="AE119" s="150">
        <f>IF($C119&gt;0,(IF($C119=$AC$7,$F119,0)),0)</f>
        <v>0</v>
      </c>
      <c r="AF119" s="165">
        <f>IF($C119&gt;0,(IF($AC$7&gt;=$C119+1,$G119,0)),0)</f>
        <v>0</v>
      </c>
      <c r="AG119" s="168">
        <f>IF($C119&gt;0,(IF($C119=$AG$7,(-FV(InflationRate,$AG$7,,$D119)),0)),0)</f>
        <v>0</v>
      </c>
      <c r="AH119" s="149">
        <f>IF($C119&gt;0,(IF($AG$7&gt;=$C119+1, (-FV(InflationRate,$AG$7,,$E119)), 0)),0)</f>
        <v>0</v>
      </c>
      <c r="AI119" s="149">
        <f>IF($C119&gt;0,(IF($AG$7&gt;=$C119+1, (-FV(InflationRate,$AG$7,,$F119)), 0)),0)</f>
        <v>0</v>
      </c>
      <c r="AJ119" s="171">
        <f>IF($C119&gt;0,(IF($AG$7&gt;=$C119+1, (-FV(InflationRate,$AG$7,,$G119)), 0)),0)</f>
        <v>0</v>
      </c>
      <c r="AK119" s="160">
        <f>IF($C119&gt;0,(IF($C119=$AK$7,(-FV(InflationRate,$AK$7,,$D119)),0)),0)</f>
        <v>0</v>
      </c>
      <c r="AL119" s="150">
        <f>IF($C119&gt;0,(IF($AK$7&gt;=$C119+1, (-FV(InflationRate,$AK$7,,$E119)), 0)),0)</f>
        <v>0</v>
      </c>
      <c r="AM119" s="150">
        <f>IF($C119&gt;0,(IF($AK$7&gt;=$C119+1, (-FV(InflationRate,$AK$7,,$F119)), 0)),0)</f>
        <v>0</v>
      </c>
      <c r="AN119" s="165">
        <f>IF($C119&gt;0,(IF($AK$7&gt;=$C119+1, (-FV(InflationRate,$AK$7,,$G119)), 0)),0)</f>
        <v>0</v>
      </c>
      <c r="AO119" s="168">
        <f>IF($C119&gt;0,(IF($C119=$AO$7,(-FV(InflationRate,$AO$7,,$D119)),0)),0)</f>
        <v>0</v>
      </c>
      <c r="AP119" s="149">
        <f>IF($C119&gt;0,(IF($AO$7&gt;=$C119+1, (-FV(InflationRate,$AO$7,,$E119)), 0)),0)</f>
        <v>0</v>
      </c>
      <c r="AQ119" s="149">
        <f>IF($C119&gt;0,(IF($AO$7&gt;=$C119+1, (-FV(InflationRate,$AO$7,,$F119)), 0)),0)</f>
        <v>0</v>
      </c>
      <c r="AR119" s="157">
        <f>IF($C119&gt;0,(IF($AO$7&gt;=$C119+1, (-FV(InflationRate,$AO$7,,$G119)), 0)),0)</f>
        <v>0</v>
      </c>
      <c r="AS119" s="160">
        <f>IF($C119&gt;0,(IF($C119=$AS$7,(-FV(InflationRate,$AS$7,,$D119)),0)),0)</f>
        <v>0</v>
      </c>
      <c r="AT119" s="150">
        <f>IF($C119&gt;0,(IF($AS$7&gt;=$C119+1, (-FV(InflationRate,$AS$7,,$E119)), 0)),0)</f>
        <v>0</v>
      </c>
      <c r="AU119" s="150">
        <f>IF($C119&gt;0,(IF($AS$7&gt;=$C119+1, (-FV(InflationRate,$AS$7,,$F119)), 0)),0)</f>
        <v>0</v>
      </c>
      <c r="AV119" s="165">
        <f>IF($C119&gt;0,(IF($AS$7&gt;=$C119+1, (-FV(InflationRate,$AS$7,,$G119)), 0)),0)</f>
        <v>0</v>
      </c>
      <c r="AW119" s="168">
        <f>IF($C119&gt;0,(IF($C119=$AW$7,(-FV(InflationRate,$AW$7,,$D119)),0)),0)</f>
        <v>0</v>
      </c>
      <c r="AX119" s="149">
        <f>IF($C119&gt;0,(IF($AW$7&gt;=$C119+1, (-FV(InflationRate,$AW$7,,$E119)), 0)),0)</f>
        <v>0</v>
      </c>
      <c r="AY119" s="149">
        <f>IF($C119&gt;0,(IF($AW$7&gt;=$C119+1, (-FV(InflationRate,$AW$7,,$F119)), 0)),0)</f>
        <v>0</v>
      </c>
      <c r="AZ119" s="157">
        <f>IF($C119&gt;0,(IF($AW$7&gt;=$C119+1, (-FV(InflationRate,$AW$7,,$G119)), 0)),0)</f>
        <v>0</v>
      </c>
      <c r="BA119" s="160">
        <f>IF($C119&gt;0,(IF($C119=$BA$7,(-FV(InflationRate,$BA$7,,$D119)),0)),0)</f>
        <v>0</v>
      </c>
      <c r="BB119" s="150">
        <f>IF($C119&gt;0,(IF($BA$7&gt;=$C119+1, (-FV(InflationRate,$BA$7,,$E119)), 0)),0)</f>
        <v>0</v>
      </c>
      <c r="BC119" s="150">
        <f>IF($C119&gt;0,(IF($BA$7&gt;=$C119+1, (-FV(InflationRate,$BA$7,,$F119)), 0)),0)</f>
        <v>0</v>
      </c>
      <c r="BD119" s="176">
        <f>IF($C119&gt;0,(IF($BA$7&gt;=$C119+1, (-FV(InflationRate,$BA$7,,$G119)), 0)),0)</f>
        <v>0</v>
      </c>
      <c r="BE119" s="168">
        <f>IF($C119&gt;0,(IF($C119=$BE$7,(-FV(InflationRate,$BE$7,,$D119)),0)),0)</f>
        <v>0</v>
      </c>
      <c r="BF119" s="149">
        <f>IF($C119&gt;0,(IF($BE$7&gt;=$C119+1, (-FV(InflationRate,$BE$7,,$E119)), 0)),0)</f>
        <v>0</v>
      </c>
      <c r="BG119" s="149">
        <f>IF($C119&gt;0,(IF($BE$7&gt;=$C119+1, (-FV(InflationRate,$BE$7,,$F119)), 0)),0)</f>
        <v>0</v>
      </c>
      <c r="BH119" s="171">
        <f>IF($C119&gt;0,(IF($BE$7&gt;=$C119+1, (-FV(InflationRate,$BE$7,,$G119)), 0)),0)</f>
        <v>0</v>
      </c>
      <c r="BI119" s="160">
        <f>IF($C119&gt;0,(IF($C119=$BI$7,(-FV(InflationRate,$BI$7,,$D119)),0)),0)</f>
        <v>0</v>
      </c>
      <c r="BJ119" s="150">
        <f>IF($C119&gt;0,(IF($BI$7&gt;=$C119+1, (-FV(InflationRate,$BI$7,,$E119)), 0)),0)</f>
        <v>0</v>
      </c>
      <c r="BK119" s="150">
        <f>IF($C119&gt;0,(IF($BI$7&gt;=$C119+1, (-FV(InflationRate,$BI$7,,$F119)), 0)),0)</f>
        <v>0</v>
      </c>
      <c r="BL119" s="176">
        <f>IF($C119&gt;0,(IF($BI$7&gt;=$C119+1, (-FV(InflationRate,$BI$7,,$G119)), 0)),0)</f>
        <v>0</v>
      </c>
      <c r="BM119" s="168">
        <f>IF($C119&gt;0,(IF($C119=$BM$7,(-FV(InflationRate,$BM$7,,$D119)),0)),0)</f>
        <v>0</v>
      </c>
      <c r="BN119" s="149">
        <f>IF($C119&gt;0,(IF($BM$7&gt;=$C119+1, (-FV(InflationRate,$BM$7,,$E119)), 0)),0)</f>
        <v>0</v>
      </c>
      <c r="BO119" s="149">
        <f>IF($C119&gt;0,(IF($BM$7&gt;=$C119+1, (-FV(InflationRate,$BM$7,,$F119)), 0)),0)</f>
        <v>0</v>
      </c>
      <c r="BP119" s="157">
        <f>IF($C119&gt;0,(IF($BM$7&gt;=$C119+1, (-FV(InflationRate,$BM$7,,$G119)), 0)),0)</f>
        <v>0</v>
      </c>
      <c r="BQ119" s="160">
        <f>IF($C119&gt;0,(IF($C119=$BQ$7,(-FV(InflationRate,$BQ$7,,$D119)),0)),0)</f>
        <v>0</v>
      </c>
      <c r="BR119" s="150">
        <f>IF($C119&gt;0,(IF($BQ$7&gt;=$C119+1, (-FV(InflationRate,$BQ$7,,$E119)), 0)),0)</f>
        <v>0</v>
      </c>
      <c r="BS119" s="150">
        <f>IF($C119&gt;0,(IF($BQ$7&gt;=$C119+1, (-FV(InflationRate,$BQ$7,,$F119)), 0)),0)</f>
        <v>0</v>
      </c>
      <c r="BT119" s="176">
        <f>IF($C119&gt;0,(IF($BQ$7&gt;=$C119+1, (-FV(InflationRate,$BQ$7,,$G119)), 0)),0)</f>
        <v>0</v>
      </c>
      <c r="BU119" s="168">
        <f>IF($C119&gt;0,(IF($C119=$BU$7,(-FV(InflationRate,$BU$7,,$D119)),0)),0)</f>
        <v>0</v>
      </c>
      <c r="BV119" s="149">
        <f>IF($C119&gt;0,(IF($BU$7&gt;=$C119+1, (-FV(InflationRate,$BU$7,,$E119)), 0)),0)</f>
        <v>0</v>
      </c>
      <c r="BW119" s="149">
        <f>IF($C119&gt;0,(IF($BU$7&gt;=$C119+1, (-FV(InflationRate,$BU$7,,$F119)), 0)),0)</f>
        <v>0</v>
      </c>
      <c r="BX119" s="157">
        <f>IF($C119&gt;0,(IF($BU$7&gt;=$C119+1, (-FV(InflationRate,$BU$7,,$G119)), 0)),0)</f>
        <v>0</v>
      </c>
      <c r="BY119" s="160">
        <f>IF($C119&gt;0,(IF($C119=$BY$7,(-FV(InflationRate,$BY$7,,$D119)),0)),0)</f>
        <v>0</v>
      </c>
      <c r="BZ119" s="150">
        <f>IF($C119&gt;0,(IF($BY$7&gt;=$C119+1, (-FV(InflationRate,$BY$7,,$E119)), 0)),0)</f>
        <v>0</v>
      </c>
      <c r="CA119" s="150">
        <f>IF($C119&gt;0,(IF($BY$7&gt;=$C119+1, (-FV(InflationRate,$BY$7,,$F119)), 0)),0)</f>
        <v>0</v>
      </c>
      <c r="CB119" s="176">
        <f>IF($C119&gt;0,(IF($BY$7&gt;=$C119+1, (-FV(InflationRate,$BY$7,,$G119)), 0)),0)</f>
        <v>0</v>
      </c>
      <c r="CC119" s="168">
        <f>IF($C119&gt;0,(IF($C119=$CC$7,(-FV(InflationRate,$CC$7,,$D119)),0)),0)</f>
        <v>0</v>
      </c>
      <c r="CD119" s="149">
        <f>IF($C119&gt;0,(IF($CC$7&gt;=$C119+1, (-FV(InflationRate,$CC$7,,$E119)), 0)),0)</f>
        <v>0</v>
      </c>
      <c r="CE119" s="149">
        <f>IF($C119&gt;0,(IF($CC$7&gt;=$C119+1, (-FV(InflationRate,$CC$7,,$F119)), 0)),0)</f>
        <v>0</v>
      </c>
      <c r="CF119" s="157">
        <f>IF($C119&gt;0,(IF($CC$7&gt;=$C119+1, (-FV(InflationRate,$CC$7,,$G119)), 0)),0)</f>
        <v>0</v>
      </c>
      <c r="CG119" s="160">
        <f>IF($C119&gt;0,(IF($C119=$CG$7,(-FV(InflationRate,$CG$7,,$D119)),0)),0)</f>
        <v>0</v>
      </c>
      <c r="CH119" s="150">
        <f>IF($C119&gt;0,(IF($CG$7&gt;=$C119+1, (-FV(InflationRate,$CG$7,,$E119)), 0)),0)</f>
        <v>0</v>
      </c>
      <c r="CI119" s="150">
        <f>IF($C119&gt;0,(IF($CG$7&gt;=$C119+1, (-FV(InflationRate,$CG$7,,$F119)), 0)),0)</f>
        <v>0</v>
      </c>
      <c r="CJ119" s="176">
        <f>IF($C119&gt;0,(IF($CG$7&gt;=$C119+1, (-FV(InflationRate,$CG$7,,$G119)), 0)),0)</f>
        <v>0</v>
      </c>
      <c r="CK119" s="168">
        <f>IF($C119&gt;0,(IF($C119=$CK$7,(-FV(InflationRate,$CK$7,,$D119)),0)),0)</f>
        <v>0</v>
      </c>
      <c r="CL119" s="149">
        <f>IF($C119&gt;0,(IF($CK$7&gt;=$C119+1, (-FV(InflationRate,$CK$7,,$E119)), 0)),0)</f>
        <v>0</v>
      </c>
      <c r="CM119" s="149">
        <f>IF($C119&gt;0,(IF($CK$7&gt;=$C119+1, (-FV(InflationRate,$CK$7,,$F119)), 0)),0)</f>
        <v>0</v>
      </c>
      <c r="CN119" s="157">
        <f>IF($C119&gt;0,(IF($CK$7&gt;=$C119+1, (-FV(InflationRate,$CK$7,,$G119)), 0)),0)</f>
        <v>0</v>
      </c>
      <c r="CO119" s="160">
        <f>IF($C119&gt;0,(IF($C119=$CO$7,(-FV(InflationRate,$CO$7,,$D119)),0)),0)</f>
        <v>0</v>
      </c>
      <c r="CP119" s="150">
        <f>IF($C119&gt;0,(IF($CO$7&gt;=$C119+1, (-FV(InflationRate,$CO$7,,$E119)), 0)),0)</f>
        <v>0</v>
      </c>
      <c r="CQ119" s="150">
        <f>IF($C119&gt;0,(IF($CO$7&gt;=$C119+1, (-FV(InflationRate,$CO$7,,$F119)), 0)),0)</f>
        <v>0</v>
      </c>
      <c r="CR119" s="176">
        <f>IF($C119&gt;0,(IF($CO$7&gt;=$C119+1, (-FV(InflationRate,$CO$7,,$G119)), 0)),0)</f>
        <v>0</v>
      </c>
      <c r="CS119" s="168">
        <f>IF($C119&gt;0,(IF($C119=$CS$7,(-FV(InflationRate,$CS$7,,$D119)),0)),0)</f>
        <v>0</v>
      </c>
      <c r="CT119" s="149">
        <f>IF($C119&gt;0,(IF($CS$7&gt;=$C119+1, (-FV(InflationRate,$CS$7,,$E119)), 0)),0)</f>
        <v>0</v>
      </c>
      <c r="CU119" s="149">
        <f>IF($C119&gt;0,(IF($CS$7&gt;=$C119+1, (-FV(InflationRate,$CS$7,,$F119)), 0)),0)</f>
        <v>0</v>
      </c>
      <c r="CV119" s="157">
        <f>IF($C119&gt;0,(IF($CS$7&gt;=$C119+1, (-FV(InflationRate,$CS$7,,$G119)), 0)),0)</f>
        <v>0</v>
      </c>
      <c r="CW119" s="160">
        <f>IF($C119&gt;0,(IF($C119=$CW$7,(-FV(InflationRate,$CW$7,,$D119)),0)),0)</f>
        <v>0</v>
      </c>
      <c r="CX119" s="150">
        <f>IF($C119&gt;0,(IF($CW$7&gt;=$C119+1, (-FV(InflationRate,$CW$7,,$E119)), 0)),0)</f>
        <v>0</v>
      </c>
      <c r="CY119" s="150">
        <f>IF($C119&gt;0,(IF($CW$7&gt;=$C119+1, (-FV(InflationRate,$CW$7,,$F119)), 0)),0)</f>
        <v>0</v>
      </c>
      <c r="CZ119" s="176">
        <f>IF($C119&gt;0,(IF($CW$7&gt;=$C119+1, (-FV(InflationRate,$CW$7,,$G119)), 0)),0)</f>
        <v>0</v>
      </c>
      <c r="DA119" s="168">
        <f>IF($C119&gt;0,(IF($C119=$DA$7,(-FV(InflationRate,$DA$7,,$D119)),0)),0)</f>
        <v>0</v>
      </c>
      <c r="DB119" s="149">
        <f>IF($C119&gt;0,(IF($DA$7&gt;=$C119+1, (-FV(InflationRate,$DA$7,,$E119)), 0)),0)</f>
        <v>0</v>
      </c>
      <c r="DC119" s="149">
        <f>IF($C119&gt;0,(IF($DA$7&gt;=$C119+1, (-FV(InflationRate,$DA$7,,$F119)), 0)),0)</f>
        <v>0</v>
      </c>
      <c r="DD119" s="157">
        <f>IF($C119&gt;0,(IF($DA$7&gt;=$C119+1, (-FV(InflationRate,$DA$7,,$G119)), 0)),0)</f>
        <v>0</v>
      </c>
    </row>
    <row r="120" spans="2:108" ht="12.75" customHeight="1" x14ac:dyDescent="0.2">
      <c r="B120" s="221"/>
      <c r="C120" s="190" t="s">
        <v>372</v>
      </c>
      <c r="D120" s="223">
        <f>D14+D15+D18+D19+D22+D23+D26+D27+D32+D33+D36+D37+D40+D41+D44+D45+D50+D51+D54+D55+D58+D59+D62+D63+D69+D70+D73+D74+D77+D78+D81+D82+D87+D88+D91+D92+D95+D96+D99+D100+D105+D106+D109+D110+D113+D114+D117+D118</f>
        <v>74017300</v>
      </c>
      <c r="E120" s="224">
        <f>E15+E19+E23+E27+E33+E37+E41+E45+E51+E55+E59+E63+E70+E74+E78+E82+E88+E92+E96+E100+E106+E110+E114+E118</f>
        <v>1687700</v>
      </c>
      <c r="F120" s="225">
        <f>F16+F20+F24+F28+F34+F38+F42+F46+F52+F56+F60+F64+F71+F75+F79+F83+F89+F93+F97+F101+F107+F111+F115+F119</f>
        <v>463200</v>
      </c>
      <c r="G120" s="226">
        <f>G15+G19+G23+G27+G33+G37+G41+G45+G51+G55+G59+G63+G70+G74+G78+G82+G88+G92+G96+G100+G106+G110+G114+G118</f>
        <v>70300</v>
      </c>
      <c r="H120" s="169"/>
      <c r="I120" s="612"/>
      <c r="J120" s="612"/>
      <c r="K120" s="612"/>
      <c r="L120" s="612"/>
      <c r="M120" s="612"/>
      <c r="N120" s="612"/>
      <c r="O120" s="612"/>
      <c r="P120" s="612"/>
      <c r="Q120" s="612"/>
      <c r="R120" s="612"/>
      <c r="S120" s="612"/>
      <c r="T120" s="612"/>
      <c r="U120" s="612"/>
      <c r="V120" s="612"/>
      <c r="W120" s="612"/>
      <c r="X120" s="612"/>
      <c r="Y120" s="612"/>
      <c r="Z120" s="612"/>
      <c r="AA120" s="612"/>
      <c r="AB120" s="613"/>
      <c r="AC120" s="231">
        <f>SUBTOTAL(9,AC14:AC107)</f>
        <v>1050125</v>
      </c>
      <c r="AD120" s="232">
        <f t="shared" ref="AD120:CO120" si="1">SUBTOTAL(9,AD14:AD107)</f>
        <v>0</v>
      </c>
      <c r="AE120" s="232">
        <f t="shared" si="1"/>
        <v>0</v>
      </c>
      <c r="AF120" s="233">
        <f t="shared" si="1"/>
        <v>0</v>
      </c>
      <c r="AG120" s="223">
        <f t="shared" si="1"/>
        <v>4475369.5184999993</v>
      </c>
      <c r="AH120" s="224">
        <f t="shared" si="1"/>
        <v>0</v>
      </c>
      <c r="AI120" s="224">
        <f t="shared" si="1"/>
        <v>0</v>
      </c>
      <c r="AJ120" s="226">
        <f t="shared" si="1"/>
        <v>0</v>
      </c>
      <c r="AK120" s="231">
        <f t="shared" si="1"/>
        <v>31458353.693949997</v>
      </c>
      <c r="AL120" s="232">
        <f t="shared" si="1"/>
        <v>0</v>
      </c>
      <c r="AM120" s="232">
        <f t="shared" si="1"/>
        <v>0</v>
      </c>
      <c r="AN120" s="233">
        <f t="shared" si="1"/>
        <v>0</v>
      </c>
      <c r="AO120" s="223">
        <f t="shared" si="1"/>
        <v>0</v>
      </c>
      <c r="AP120" s="224">
        <f t="shared" si="1"/>
        <v>967881.30115949991</v>
      </c>
      <c r="AQ120" s="224">
        <f t="shared" si="1"/>
        <v>252085.83571974997</v>
      </c>
      <c r="AR120" s="226">
        <f t="shared" si="1"/>
        <v>41221.760166249995</v>
      </c>
      <c r="AS120" s="231">
        <f t="shared" si="1"/>
        <v>6255037.1589967944</v>
      </c>
      <c r="AT120" s="232">
        <f t="shared" si="1"/>
        <v>996917.74019428482</v>
      </c>
      <c r="AU120" s="232">
        <f t="shared" si="1"/>
        <v>259648.41079134247</v>
      </c>
      <c r="AV120" s="233">
        <f t="shared" si="1"/>
        <v>42458.412971237492</v>
      </c>
      <c r="AW120" s="223">
        <f t="shared" si="1"/>
        <v>3290999.1776013686</v>
      </c>
      <c r="AX120" s="224">
        <f t="shared" si="1"/>
        <v>1104856.5899782837</v>
      </c>
      <c r="AY120" s="224">
        <f t="shared" si="1"/>
        <v>280363.47922500916</v>
      </c>
      <c r="AZ120" s="226">
        <f t="shared" si="1"/>
        <v>47284.470942548396</v>
      </c>
      <c r="BA120" s="231">
        <f t="shared" si="1"/>
        <v>0</v>
      </c>
      <c r="BB120" s="232">
        <f t="shared" si="1"/>
        <v>1138002.2876776322</v>
      </c>
      <c r="BC120" s="232">
        <f t="shared" si="1"/>
        <v>288774.38360175944</v>
      </c>
      <c r="BD120" s="233">
        <f t="shared" si="1"/>
        <v>48703.005070824853</v>
      </c>
      <c r="BE120" s="223">
        <f t="shared" si="1"/>
        <v>24997807.401062518</v>
      </c>
      <c r="BF120" s="224">
        <f t="shared" si="1"/>
        <v>1172142.356307961</v>
      </c>
      <c r="BG120" s="224">
        <f t="shared" si="1"/>
        <v>297437.61510981224</v>
      </c>
      <c r="BH120" s="226">
        <f t="shared" si="1"/>
        <v>50164.095222949589</v>
      </c>
      <c r="BI120" s="231">
        <f t="shared" si="1"/>
        <v>0</v>
      </c>
      <c r="BJ120" s="232">
        <f t="shared" si="1"/>
        <v>1724127.2851119635</v>
      </c>
      <c r="BK120" s="232">
        <f t="shared" si="1"/>
        <v>506512.94996251271</v>
      </c>
      <c r="BL120" s="233">
        <f t="shared" si="1"/>
        <v>77634.004437840049</v>
      </c>
      <c r="BM120" s="223">
        <f t="shared" si="1"/>
        <v>0</v>
      </c>
      <c r="BN120" s="224">
        <f t="shared" si="1"/>
        <v>1775851.1036653228</v>
      </c>
      <c r="BO120" s="224">
        <f t="shared" si="1"/>
        <v>521708.33846138814</v>
      </c>
      <c r="BP120" s="226">
        <f t="shared" si="1"/>
        <v>79963.024570975249</v>
      </c>
      <c r="BQ120" s="231">
        <f t="shared" si="1"/>
        <v>0</v>
      </c>
      <c r="BR120" s="232">
        <f t="shared" si="1"/>
        <v>1829126.6367752822</v>
      </c>
      <c r="BS120" s="232">
        <f t="shared" si="1"/>
        <v>537359.58861522982</v>
      </c>
      <c r="BT120" s="233">
        <f t="shared" si="1"/>
        <v>82361.915308104508</v>
      </c>
      <c r="BU120" s="223">
        <f t="shared" si="1"/>
        <v>0</v>
      </c>
      <c r="BV120" s="224">
        <f t="shared" si="1"/>
        <v>1884000.4358785404</v>
      </c>
      <c r="BW120" s="224">
        <f t="shared" si="1"/>
        <v>553480.37627368653</v>
      </c>
      <c r="BX120" s="226">
        <f t="shared" si="1"/>
        <v>84832.772767347633</v>
      </c>
      <c r="BY120" s="231">
        <f t="shared" si="1"/>
        <v>0</v>
      </c>
      <c r="BZ120" s="232">
        <f t="shared" si="1"/>
        <v>1940520.4489548965</v>
      </c>
      <c r="CA120" s="232">
        <f t="shared" si="1"/>
        <v>570084.78756189719</v>
      </c>
      <c r="CB120" s="233">
        <f t="shared" si="1"/>
        <v>87377.755950368053</v>
      </c>
      <c r="CC120" s="223">
        <f t="shared" si="1"/>
        <v>7111591.8503787899</v>
      </c>
      <c r="CD120" s="224">
        <f t="shared" si="1"/>
        <v>1998736.0624235435</v>
      </c>
      <c r="CE120" s="224">
        <f t="shared" si="1"/>
        <v>587187.33118875418</v>
      </c>
      <c r="CF120" s="226">
        <f t="shared" si="1"/>
        <v>89999.088628879108</v>
      </c>
      <c r="CG120" s="231">
        <f t="shared" si="1"/>
        <v>9737296.3537547775</v>
      </c>
      <c r="CH120" s="232">
        <f t="shared" si="1"/>
        <v>2526088.3692764794</v>
      </c>
      <c r="CI120" s="232">
        <f t="shared" si="1"/>
        <v>721650.50736947404</v>
      </c>
      <c r="CJ120" s="233">
        <f t="shared" si="1"/>
        <v>92699.061287745484</v>
      </c>
      <c r="CK120" s="223">
        <f t="shared" si="1"/>
        <v>0</v>
      </c>
      <c r="CL120" s="224">
        <f t="shared" si="1"/>
        <v>2690129.8745052065</v>
      </c>
      <c r="CM120" s="224">
        <f t="shared" si="1"/>
        <v>743300.02259055816</v>
      </c>
      <c r="CN120" s="226">
        <f t="shared" si="1"/>
        <v>95480.033126377835</v>
      </c>
      <c r="CO120" s="231">
        <f t="shared" si="1"/>
        <v>0</v>
      </c>
      <c r="CP120" s="232">
        <f t="shared" ref="CP120:DD120" si="2">SUBTOTAL(9,CP14:CP107)</f>
        <v>2770833.7707403633</v>
      </c>
      <c r="CQ120" s="232">
        <f t="shared" si="2"/>
        <v>765599.02326827496</v>
      </c>
      <c r="CR120" s="233">
        <f t="shared" si="2"/>
        <v>98344.434120169157</v>
      </c>
      <c r="CS120" s="223">
        <f t="shared" si="2"/>
        <v>0</v>
      </c>
      <c r="CT120" s="224">
        <f t="shared" si="2"/>
        <v>2853958.7838625736</v>
      </c>
      <c r="CU120" s="224">
        <f t="shared" si="2"/>
        <v>788566.99396632321</v>
      </c>
      <c r="CV120" s="226">
        <f t="shared" si="2"/>
        <v>101294.76714377424</v>
      </c>
      <c r="CW120" s="231">
        <f t="shared" si="2"/>
        <v>0</v>
      </c>
      <c r="CX120" s="232">
        <f t="shared" si="2"/>
        <v>2939577.5473784511</v>
      </c>
      <c r="CY120" s="232">
        <f t="shared" si="2"/>
        <v>812224.00378531299</v>
      </c>
      <c r="CZ120" s="233">
        <f t="shared" si="2"/>
        <v>104333.61015808747</v>
      </c>
      <c r="DA120" s="223">
        <f t="shared" si="2"/>
        <v>0</v>
      </c>
      <c r="DB120" s="224">
        <f t="shared" si="2"/>
        <v>3027764.8737998046</v>
      </c>
      <c r="DC120" s="224">
        <f t="shared" si="2"/>
        <v>836590.72389887227</v>
      </c>
      <c r="DD120" s="226">
        <f t="shared" si="2"/>
        <v>107463.61846283008</v>
      </c>
    </row>
    <row r="121" spans="2:108" ht="12.75" customHeight="1" thickBot="1" x14ac:dyDescent="0.25">
      <c r="B121" s="186"/>
      <c r="C121" s="191"/>
      <c r="D121" s="169"/>
      <c r="E121" s="155"/>
      <c r="G121" s="155"/>
      <c r="H121" s="169"/>
      <c r="I121" s="614"/>
      <c r="J121" s="614"/>
      <c r="K121" s="614"/>
      <c r="L121" s="614"/>
      <c r="M121" s="614"/>
      <c r="N121" s="614"/>
      <c r="O121" s="614"/>
      <c r="P121" s="614"/>
      <c r="Q121" s="614"/>
      <c r="R121" s="614"/>
      <c r="S121" s="614"/>
      <c r="T121" s="614"/>
      <c r="U121" s="614"/>
      <c r="V121" s="614"/>
      <c r="W121" s="614"/>
      <c r="X121" s="614"/>
      <c r="Y121" s="614"/>
      <c r="Z121" s="614"/>
      <c r="AA121" s="614"/>
      <c r="AB121" s="615"/>
      <c r="AC121" s="161"/>
      <c r="AD121" s="156"/>
      <c r="AE121" s="156"/>
      <c r="AF121" s="166"/>
      <c r="AG121" s="169"/>
      <c r="AH121" s="155"/>
      <c r="AI121" s="155"/>
      <c r="AJ121" s="172"/>
      <c r="AK121" s="174"/>
      <c r="AL121" s="156"/>
      <c r="AM121" s="156"/>
      <c r="AN121" s="166"/>
      <c r="AO121" s="169"/>
      <c r="AP121" s="155"/>
      <c r="AQ121" s="155"/>
      <c r="AR121" s="158"/>
      <c r="AS121" s="174"/>
      <c r="AT121" s="156"/>
      <c r="AU121" s="156"/>
      <c r="AV121" s="166"/>
      <c r="AW121" s="169"/>
      <c r="AX121" s="155"/>
      <c r="AY121" s="155"/>
      <c r="AZ121" s="158"/>
      <c r="BA121" s="174"/>
      <c r="BB121" s="156"/>
      <c r="BC121" s="156"/>
      <c r="BD121" s="177"/>
      <c r="BE121" s="169"/>
      <c r="BF121" s="155"/>
      <c r="BG121" s="155"/>
      <c r="BH121" s="172"/>
      <c r="BI121" s="174"/>
      <c r="BJ121" s="156"/>
      <c r="BK121" s="156"/>
      <c r="BL121" s="177"/>
      <c r="BM121" s="169"/>
      <c r="BN121" s="155"/>
      <c r="BO121" s="155"/>
      <c r="BP121" s="158"/>
      <c r="BQ121" s="174"/>
      <c r="BR121" s="156"/>
      <c r="BS121" s="156"/>
      <c r="BT121" s="177"/>
      <c r="BU121" s="169"/>
      <c r="BV121" s="155"/>
      <c r="BW121" s="155"/>
      <c r="BX121" s="158"/>
      <c r="BY121" s="174"/>
      <c r="BZ121" s="156"/>
      <c r="CA121" s="156"/>
      <c r="CB121" s="177"/>
      <c r="CC121" s="169"/>
      <c r="CD121" s="155"/>
      <c r="CE121" s="155"/>
      <c r="CF121" s="158"/>
      <c r="CG121" s="174"/>
      <c r="CH121" s="156"/>
      <c r="CI121" s="156"/>
      <c r="CJ121" s="177"/>
      <c r="CK121" s="169"/>
      <c r="CL121" s="155"/>
      <c r="CM121" s="155"/>
      <c r="CN121" s="158"/>
      <c r="CO121" s="174"/>
      <c r="CP121" s="156"/>
      <c r="CQ121" s="156"/>
      <c r="CR121" s="177"/>
      <c r="CS121" s="169"/>
      <c r="CT121" s="155"/>
      <c r="CU121" s="155"/>
      <c r="CV121" s="158"/>
      <c r="CW121" s="174"/>
      <c r="CX121" s="156"/>
      <c r="CY121" s="156"/>
      <c r="CZ121" s="177"/>
      <c r="DA121" s="169"/>
      <c r="DB121" s="155"/>
      <c r="DC121" s="155"/>
      <c r="DD121" s="158"/>
    </row>
    <row r="122" spans="2:108" ht="15.75" customHeight="1" thickBot="1" x14ac:dyDescent="0.25">
      <c r="B122" s="162" t="s">
        <v>45</v>
      </c>
      <c r="C122" s="162"/>
      <c r="D122" s="162"/>
      <c r="E122" s="163"/>
      <c r="F122" s="163"/>
      <c r="G122" s="163"/>
      <c r="H122" s="162"/>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c r="AE122" s="163"/>
      <c r="AF122" s="163"/>
      <c r="AG122" s="162"/>
      <c r="AH122" s="163"/>
      <c r="AI122" s="163"/>
      <c r="AJ122" s="163"/>
      <c r="AK122" s="162"/>
      <c r="AL122" s="163"/>
      <c r="AM122" s="163"/>
      <c r="AN122" s="163"/>
      <c r="AO122" s="162"/>
      <c r="AP122" s="163"/>
      <c r="AQ122" s="163"/>
      <c r="AR122" s="164"/>
      <c r="AS122" s="162"/>
      <c r="AT122" s="163"/>
      <c r="AU122" s="163"/>
      <c r="AV122" s="163"/>
      <c r="AW122" s="162"/>
      <c r="AX122" s="163"/>
      <c r="AY122" s="163"/>
      <c r="AZ122" s="164"/>
      <c r="BA122" s="162"/>
      <c r="BB122" s="163"/>
      <c r="BC122" s="163"/>
      <c r="BD122" s="164"/>
      <c r="BE122" s="162"/>
      <c r="BF122" s="163"/>
      <c r="BG122" s="163"/>
      <c r="BH122" s="163"/>
      <c r="BI122" s="162"/>
      <c r="BJ122" s="163"/>
      <c r="BK122" s="163"/>
      <c r="BL122" s="164"/>
      <c r="BM122" s="162"/>
      <c r="BN122" s="163"/>
      <c r="BO122" s="163"/>
      <c r="BP122" s="164"/>
      <c r="BQ122" s="162"/>
      <c r="BR122" s="163"/>
      <c r="BS122" s="163"/>
      <c r="BT122" s="164"/>
      <c r="BU122" s="162"/>
      <c r="BV122" s="163"/>
      <c r="BW122" s="163"/>
      <c r="BX122" s="164"/>
      <c r="BY122" s="162"/>
      <c r="BZ122" s="163"/>
      <c r="CA122" s="163"/>
      <c r="CB122" s="164"/>
      <c r="CC122" s="162"/>
      <c r="CD122" s="163"/>
      <c r="CE122" s="163"/>
      <c r="CF122" s="164"/>
      <c r="CG122" s="162"/>
      <c r="CH122" s="163"/>
      <c r="CI122" s="163"/>
      <c r="CJ122" s="164"/>
      <c r="CK122" s="162"/>
      <c r="CL122" s="163"/>
      <c r="CM122" s="163"/>
      <c r="CN122" s="164"/>
      <c r="CO122" s="162"/>
      <c r="CP122" s="163"/>
      <c r="CQ122" s="163"/>
      <c r="CR122" s="164"/>
      <c r="CS122" s="162"/>
      <c r="CT122" s="163"/>
      <c r="CU122" s="163"/>
      <c r="CV122" s="164"/>
      <c r="CW122" s="162"/>
      <c r="CX122" s="163"/>
      <c r="CY122" s="163"/>
      <c r="CZ122" s="164"/>
      <c r="DA122" s="162"/>
      <c r="DB122" s="163"/>
      <c r="DC122" s="163"/>
      <c r="DD122" s="164"/>
    </row>
    <row r="123" spans="2:108" x14ac:dyDescent="0.2">
      <c r="B123" s="183"/>
      <c r="C123" s="189"/>
      <c r="D123" s="168"/>
      <c r="E123" s="149"/>
      <c r="F123" s="149"/>
      <c r="G123" s="149"/>
      <c r="H123" s="168"/>
      <c r="I123" s="600"/>
      <c r="J123" s="600"/>
      <c r="K123" s="600"/>
      <c r="L123" s="600"/>
      <c r="M123" s="600"/>
      <c r="N123" s="600"/>
      <c r="O123" s="600"/>
      <c r="P123" s="600"/>
      <c r="Q123" s="600"/>
      <c r="R123" s="600"/>
      <c r="S123" s="600"/>
      <c r="T123" s="600"/>
      <c r="U123" s="600"/>
      <c r="V123" s="600"/>
      <c r="W123" s="600"/>
      <c r="X123" s="600"/>
      <c r="Y123" s="600"/>
      <c r="Z123" s="600"/>
      <c r="AA123" s="600"/>
      <c r="AB123" s="601"/>
      <c r="AC123" s="160"/>
      <c r="AD123" s="150"/>
      <c r="AE123" s="150"/>
      <c r="AF123" s="165"/>
      <c r="AG123" s="168"/>
      <c r="AH123" s="149"/>
      <c r="AI123" s="149"/>
      <c r="AJ123" s="171"/>
      <c r="AK123" s="160"/>
      <c r="AL123" s="150"/>
      <c r="AM123" s="150"/>
      <c r="AN123" s="165"/>
      <c r="AO123" s="168"/>
      <c r="AP123" s="149"/>
      <c r="AQ123" s="149"/>
      <c r="AR123" s="157"/>
      <c r="AS123" s="160"/>
      <c r="AT123" s="150"/>
      <c r="AU123" s="150"/>
      <c r="AV123" s="165"/>
      <c r="AW123" s="168"/>
      <c r="AX123" s="149"/>
      <c r="AY123" s="149"/>
      <c r="AZ123" s="157"/>
      <c r="BA123" s="160"/>
      <c r="BB123" s="150"/>
      <c r="BC123" s="150"/>
      <c r="BD123" s="176"/>
      <c r="BE123" s="168"/>
      <c r="BF123" s="149"/>
      <c r="BG123" s="149"/>
      <c r="BH123" s="171"/>
      <c r="BI123" s="160"/>
      <c r="BJ123" s="150"/>
      <c r="BK123" s="150"/>
      <c r="BL123" s="176"/>
      <c r="BM123" s="168"/>
      <c r="BN123" s="149"/>
      <c r="BO123" s="149"/>
      <c r="BP123" s="157"/>
      <c r="BQ123" s="160"/>
      <c r="BR123" s="150"/>
      <c r="BS123" s="150"/>
      <c r="BT123" s="176"/>
      <c r="BU123" s="168"/>
      <c r="BV123" s="149"/>
      <c r="BW123" s="149"/>
      <c r="BX123" s="157"/>
      <c r="BY123" s="160"/>
      <c r="BZ123" s="150"/>
      <c r="CA123" s="150"/>
      <c r="CB123" s="176"/>
      <c r="CC123" s="168"/>
      <c r="CD123" s="149"/>
      <c r="CE123" s="149"/>
      <c r="CF123" s="157"/>
      <c r="CG123" s="160"/>
      <c r="CH123" s="150"/>
      <c r="CI123" s="150"/>
      <c r="CJ123" s="176"/>
      <c r="CK123" s="168"/>
      <c r="CL123" s="149"/>
      <c r="CM123" s="149"/>
      <c r="CN123" s="157"/>
      <c r="CO123" s="160"/>
      <c r="CP123" s="150"/>
      <c r="CQ123" s="150"/>
      <c r="CR123" s="176"/>
      <c r="CS123" s="168"/>
      <c r="CT123" s="149"/>
      <c r="CU123" s="149"/>
      <c r="CV123" s="157"/>
      <c r="CW123" s="160"/>
      <c r="CX123" s="150"/>
      <c r="CY123" s="150"/>
      <c r="CZ123" s="176"/>
      <c r="DA123" s="168"/>
      <c r="DB123" s="149"/>
      <c r="DC123" s="149"/>
      <c r="DD123" s="157"/>
    </row>
    <row r="124" spans="2:108" x14ac:dyDescent="0.2">
      <c r="B124" s="187" t="s">
        <v>15</v>
      </c>
      <c r="C124" s="192"/>
      <c r="D124" s="179"/>
      <c r="E124" s="151"/>
      <c r="F124" s="151"/>
      <c r="G124" s="151"/>
      <c r="H124" s="179"/>
      <c r="I124" s="151"/>
      <c r="J124" s="151"/>
      <c r="K124" s="151"/>
      <c r="L124" s="151"/>
      <c r="M124" s="151"/>
      <c r="N124" s="151"/>
      <c r="O124" s="151"/>
      <c r="P124" s="151"/>
      <c r="Q124" s="151"/>
      <c r="R124" s="151"/>
      <c r="S124" s="151"/>
      <c r="T124" s="151"/>
      <c r="U124" s="151"/>
      <c r="V124" s="151"/>
      <c r="W124" s="151"/>
      <c r="X124" s="151"/>
      <c r="Y124" s="151"/>
      <c r="Z124" s="151"/>
      <c r="AA124" s="151"/>
      <c r="AB124" s="616"/>
      <c r="AC124" s="160"/>
      <c r="AD124" s="152"/>
      <c r="AE124" s="152"/>
      <c r="AF124" s="167"/>
      <c r="AG124" s="170"/>
      <c r="AH124" s="153"/>
      <c r="AI124" s="153"/>
      <c r="AJ124" s="173"/>
      <c r="AK124" s="175"/>
      <c r="AL124" s="152"/>
      <c r="AM124" s="152"/>
      <c r="AN124" s="167"/>
      <c r="AO124" s="170"/>
      <c r="AP124" s="153"/>
      <c r="AQ124" s="153"/>
      <c r="AR124" s="159"/>
      <c r="AS124" s="175"/>
      <c r="AT124" s="152"/>
      <c r="AU124" s="152"/>
      <c r="AV124" s="167"/>
      <c r="AW124" s="170"/>
      <c r="AX124" s="153"/>
      <c r="AY124" s="153"/>
      <c r="AZ124" s="159"/>
      <c r="BA124" s="175"/>
      <c r="BB124" s="152"/>
      <c r="BC124" s="152"/>
      <c r="BD124" s="178"/>
      <c r="BE124" s="170"/>
      <c r="BF124" s="153"/>
      <c r="BG124" s="153"/>
      <c r="BH124" s="173"/>
      <c r="BI124" s="175"/>
      <c r="BJ124" s="152"/>
      <c r="BK124" s="152"/>
      <c r="BL124" s="178"/>
      <c r="BM124" s="170"/>
      <c r="BN124" s="153"/>
      <c r="BO124" s="153"/>
      <c r="BP124" s="159"/>
      <c r="BQ124" s="175"/>
      <c r="BR124" s="152"/>
      <c r="BS124" s="152"/>
      <c r="BT124" s="178"/>
      <c r="BU124" s="170"/>
      <c r="BV124" s="153"/>
      <c r="BW124" s="153"/>
      <c r="BX124" s="159"/>
      <c r="BY124" s="175"/>
      <c r="BZ124" s="152"/>
      <c r="CA124" s="152"/>
      <c r="CB124" s="178"/>
      <c r="CC124" s="170"/>
      <c r="CD124" s="153"/>
      <c r="CE124" s="153"/>
      <c r="CF124" s="159"/>
      <c r="CG124" s="175"/>
      <c r="CH124" s="152"/>
      <c r="CI124" s="152"/>
      <c r="CJ124" s="178"/>
      <c r="CK124" s="170"/>
      <c r="CL124" s="153"/>
      <c r="CM124" s="153"/>
      <c r="CN124" s="159"/>
      <c r="CO124" s="175"/>
      <c r="CP124" s="152"/>
      <c r="CQ124" s="152"/>
      <c r="CR124" s="178"/>
      <c r="CS124" s="170"/>
      <c r="CT124" s="153"/>
      <c r="CU124" s="153"/>
      <c r="CV124" s="159"/>
      <c r="CW124" s="175"/>
      <c r="CX124" s="152"/>
      <c r="CY124" s="152"/>
      <c r="CZ124" s="178"/>
      <c r="DA124" s="170"/>
      <c r="DB124" s="153"/>
      <c r="DC124" s="153"/>
      <c r="DD124" s="159"/>
    </row>
    <row r="125" spans="2:108" ht="24" x14ac:dyDescent="0.2">
      <c r="B125" s="182" t="str">
        <f>'FCW - D1'!B5</f>
        <v>Floating Constructed Wetlands - Demonstration 1 - Data Refinement</v>
      </c>
      <c r="C125" s="189"/>
      <c r="D125" s="194">
        <f>'FCW - D1'!F34</f>
        <v>50000</v>
      </c>
      <c r="E125" s="195">
        <f>'FCW - D1'!F63</f>
        <v>0</v>
      </c>
      <c r="F125" s="195">
        <f>'FCW - D1'!F94</f>
        <v>0</v>
      </c>
      <c r="G125" s="195">
        <f>'FCW - D1'!F123</f>
        <v>0</v>
      </c>
      <c r="H125" s="168"/>
      <c r="I125" s="600"/>
      <c r="J125" s="600"/>
      <c r="K125" s="600"/>
      <c r="L125" s="600"/>
      <c r="M125" s="600"/>
      <c r="N125" s="600"/>
      <c r="O125" s="600"/>
      <c r="P125" s="600"/>
      <c r="Q125" s="600"/>
      <c r="R125" s="600"/>
      <c r="S125" s="600"/>
      <c r="T125" s="600"/>
      <c r="U125" s="600"/>
      <c r="V125" s="600"/>
      <c r="W125" s="600"/>
      <c r="X125" s="600"/>
      <c r="Y125" s="600"/>
      <c r="Z125" s="600"/>
      <c r="AA125" s="600"/>
      <c r="AB125" s="601"/>
      <c r="AC125" s="160"/>
      <c r="AD125" s="150"/>
      <c r="AE125" s="150"/>
      <c r="AF125" s="165"/>
      <c r="AG125" s="168"/>
      <c r="AH125" s="149"/>
      <c r="AI125" s="149"/>
      <c r="AJ125" s="171"/>
      <c r="AK125" s="160"/>
      <c r="AL125" s="150"/>
      <c r="AM125" s="150"/>
      <c r="AN125" s="165"/>
      <c r="AO125" s="168"/>
      <c r="AP125" s="149"/>
      <c r="AQ125" s="149"/>
      <c r="AR125" s="157"/>
      <c r="AS125" s="160"/>
      <c r="AT125" s="150"/>
      <c r="AU125" s="150"/>
      <c r="AV125" s="165"/>
      <c r="AW125" s="168"/>
      <c r="AX125" s="149"/>
      <c r="AY125" s="149"/>
      <c r="AZ125" s="157"/>
      <c r="BA125" s="160"/>
      <c r="BB125" s="150"/>
      <c r="BC125" s="150"/>
      <c r="BD125" s="176"/>
      <c r="BE125" s="168"/>
      <c r="BF125" s="149"/>
      <c r="BG125" s="149"/>
      <c r="BH125" s="171"/>
      <c r="BI125" s="160"/>
      <c r="BJ125" s="150"/>
      <c r="BK125" s="150"/>
      <c r="BL125" s="176"/>
      <c r="BM125" s="168"/>
      <c r="BN125" s="149"/>
      <c r="BO125" s="149"/>
      <c r="BP125" s="157"/>
      <c r="BQ125" s="160"/>
      <c r="BR125" s="150"/>
      <c r="BS125" s="150"/>
      <c r="BT125" s="176"/>
      <c r="BU125" s="168"/>
      <c r="BV125" s="149"/>
      <c r="BW125" s="149"/>
      <c r="BX125" s="157"/>
      <c r="BY125" s="160"/>
      <c r="BZ125" s="150"/>
      <c r="CA125" s="150"/>
      <c r="CB125" s="176"/>
      <c r="CC125" s="168"/>
      <c r="CD125" s="149"/>
      <c r="CE125" s="149"/>
      <c r="CF125" s="157"/>
      <c r="CG125" s="160"/>
      <c r="CH125" s="150"/>
      <c r="CI125" s="150"/>
      <c r="CJ125" s="176"/>
      <c r="CK125" s="168"/>
      <c r="CL125" s="149"/>
      <c r="CM125" s="149"/>
      <c r="CN125" s="157"/>
      <c r="CO125" s="160"/>
      <c r="CP125" s="150"/>
      <c r="CQ125" s="150"/>
      <c r="CR125" s="176"/>
      <c r="CS125" s="168"/>
      <c r="CT125" s="149"/>
      <c r="CU125" s="149"/>
      <c r="CV125" s="157"/>
      <c r="CW125" s="160"/>
      <c r="CX125" s="150"/>
      <c r="CY125" s="150"/>
      <c r="CZ125" s="176"/>
      <c r="DA125" s="168"/>
      <c r="DB125" s="149"/>
      <c r="DC125" s="149"/>
      <c r="DD125" s="157"/>
    </row>
    <row r="126" spans="2:108" x14ac:dyDescent="0.2">
      <c r="B126" s="183" t="s">
        <v>220</v>
      </c>
      <c r="C126" s="556">
        <v>1</v>
      </c>
      <c r="D126" s="168">
        <f>('FCW - D1'!F31+'FCW - D1'!F32)</f>
        <v>50000</v>
      </c>
      <c r="E126" s="149"/>
      <c r="F126" s="149"/>
      <c r="G126" s="149"/>
      <c r="H126" s="168">
        <f>SUM(I126:AB126)</f>
        <v>49261.08374384237</v>
      </c>
      <c r="I126" s="610">
        <f>-PV(InterestRate,I$8,,(SUM(AC126:AF126)))</f>
        <v>49261.08374384237</v>
      </c>
      <c r="J126" s="610">
        <f>-PV(InterestRate,J$8,,(SUM(AG126:AJ126)))</f>
        <v>0</v>
      </c>
      <c r="K126" s="610">
        <f>-PV(InterestRate,K$8,,(SUM(AK126:AN126)))</f>
        <v>0</v>
      </c>
      <c r="L126" s="610">
        <f>-PV(InterestRate,L$8,,(SUM(AO126:AR126)))</f>
        <v>0</v>
      </c>
      <c r="M126" s="610">
        <f>-PV(InterestRate,M$8,,(SUM(AS126:AV126)))</f>
        <v>0</v>
      </c>
      <c r="N126" s="610">
        <f>-PV(InterestRate,N$8,,(SUM(AW126:AZ126)))</f>
        <v>0</v>
      </c>
      <c r="O126" s="610">
        <f>-PV(InterestRate,O$8,,(SUM(BA126:BD126)))</f>
        <v>0</v>
      </c>
      <c r="P126" s="610">
        <f>-PV(InterestRate,P$8,,(SUM(BE126:BH126)))</f>
        <v>0</v>
      </c>
      <c r="Q126" s="610">
        <f>-PV(InterestRate,Q$8,,(SUM(BI126:BL126)))</f>
        <v>0</v>
      </c>
      <c r="R126" s="610">
        <f>-PV(InterestRate,R$8,,(SUM(BM126:BP126)))</f>
        <v>0</v>
      </c>
      <c r="S126" s="610">
        <f>-PV(InterestRate,S$8,,(SUM(BQ126:BT126)))</f>
        <v>0</v>
      </c>
      <c r="T126" s="610">
        <f>-PV(InterestRate,T$8,,(SUM(BU126:BX126)))</f>
        <v>0</v>
      </c>
      <c r="U126" s="610">
        <f>-PV(InterestRate,U$8,,(SUM(BY126:CB126)))</f>
        <v>0</v>
      </c>
      <c r="V126" s="610">
        <f>-PV(InterestRate,V$8,,(SUM(CC126:CF126)))</f>
        <v>0</v>
      </c>
      <c r="W126" s="610">
        <f>-PV(InterestRate,W$8,,(SUM(CG126:CJ126)))</f>
        <v>0</v>
      </c>
      <c r="X126" s="610">
        <f>-PV(InterestRate,X$8,,(SUM(CK126:CN126)))</f>
        <v>0</v>
      </c>
      <c r="Y126" s="610">
        <f>-PV(InterestRate,Y$8,,(SUM(CO126:CR126)))</f>
        <v>0</v>
      </c>
      <c r="Z126" s="610">
        <f>-PV(InterestRate,Z$8,,(SUM(CS126:CV126)))</f>
        <v>0</v>
      </c>
      <c r="AA126" s="610">
        <f>-PV(InterestRate,AA$8,,(SUM(CW126:CZ126)))</f>
        <v>0</v>
      </c>
      <c r="AB126" s="611">
        <f>-PV(InterestRate,AB$8,,(SUM(DA126:DD126)))</f>
        <v>0</v>
      </c>
      <c r="AC126" s="160">
        <f>IF($C126&gt;0,(IF($C126=$AC$7,$D126,0)),0)</f>
        <v>50000</v>
      </c>
      <c r="AD126" s="150">
        <f>IF($C126&gt;0,(IF($AC$7&gt;=$C126+1,$E126,0)),0)</f>
        <v>0</v>
      </c>
      <c r="AE126" s="150">
        <f>IF($C126&gt;0,(IF($C126=$AC$7,$F126,0)),0)</f>
        <v>0</v>
      </c>
      <c r="AF126" s="165">
        <f>IF($C126&gt;0,(IF($AC$7&gt;=$C126+1,$G126,0)),0)</f>
        <v>0</v>
      </c>
      <c r="AG126" s="168">
        <f>IF($C126&gt;0,(IF($C126=$AG$7,(-FV(InflationRate,$AG$7,,$D126)),0)),0)</f>
        <v>0</v>
      </c>
      <c r="AH126" s="149">
        <f>IF($C126&gt;0,(IF($AG$7&gt;=$C126+1, (-FV(InflationRate,$AG$7,,$E126)), 0)),0)</f>
        <v>0</v>
      </c>
      <c r="AI126" s="149">
        <f>IF($C126&gt;0,(IF($AG$7&gt;=$C126+1, (-FV(InflationRate,$AG$7,,$F126)), 0)),0)</f>
        <v>0</v>
      </c>
      <c r="AJ126" s="171">
        <f>IF($C126&gt;0,(IF($AG$7&gt;=$C126+1, (-FV(InflationRate,$AG$7,,$G126)), 0)),0)</f>
        <v>0</v>
      </c>
      <c r="AK126" s="160">
        <f>IF($C126&gt;0,(IF($C126=$AK$7,(-FV(InflationRate,$AK$7,,$D126)),0)),0)</f>
        <v>0</v>
      </c>
      <c r="AL126" s="150">
        <f>IF($C126&gt;0,(IF($AK$7&gt;=$C126+1, (-FV(InflationRate,$AK$7,,$E126)), 0)),0)</f>
        <v>0</v>
      </c>
      <c r="AM126" s="150">
        <f>IF($C126&gt;0,(IF($AK$7&gt;=$C126+1, (-FV(InflationRate,$AK$7,,$F126)), 0)),0)</f>
        <v>0</v>
      </c>
      <c r="AN126" s="165">
        <f>IF($C126&gt;0,(IF($AK$7&gt;=$C126+1, (-FV(InflationRate,$AK$7,,$G126)), 0)),0)</f>
        <v>0</v>
      </c>
      <c r="AO126" s="168">
        <f>IF($C126&gt;0,(IF($C126=$AO$7,(-FV(InflationRate,$AO$7,,$D126)),0)),0)</f>
        <v>0</v>
      </c>
      <c r="AP126" s="149">
        <f>IF($C126&gt;0,(IF($AO$7&gt;=$C126+1, (-FV(InflationRate,$AO$7,,$E126)), 0)),0)</f>
        <v>0</v>
      </c>
      <c r="AQ126" s="149">
        <f>IF($C126&gt;0,(IF($AO$7&gt;=$C126+1, (-FV(InflationRate,$AO$7,,$F126)), 0)),0)</f>
        <v>0</v>
      </c>
      <c r="AR126" s="157">
        <f>IF($C126&gt;0,(IF($AO$7&gt;=$C126+1, (-FV(InflationRate,$AO$7,,$G126)), 0)),0)</f>
        <v>0</v>
      </c>
      <c r="AS126" s="160"/>
      <c r="AT126" s="150"/>
      <c r="AU126" s="150"/>
      <c r="AV126" s="165"/>
      <c r="AW126" s="168"/>
      <c r="AX126" s="149"/>
      <c r="AY126" s="149"/>
      <c r="AZ126" s="157"/>
      <c r="BA126" s="160"/>
      <c r="BB126" s="150"/>
      <c r="BC126" s="150"/>
      <c r="BD126" s="176"/>
      <c r="BE126" s="168"/>
      <c r="BF126" s="149"/>
      <c r="BG126" s="149"/>
      <c r="BH126" s="171"/>
      <c r="BI126" s="160"/>
      <c r="BJ126" s="150"/>
      <c r="BK126" s="150"/>
      <c r="BL126" s="176"/>
      <c r="BM126" s="168"/>
      <c r="BN126" s="149"/>
      <c r="BO126" s="149"/>
      <c r="BP126" s="157"/>
      <c r="BQ126" s="160"/>
      <c r="BR126" s="150"/>
      <c r="BS126" s="150"/>
      <c r="BT126" s="176"/>
      <c r="BU126" s="168"/>
      <c r="BV126" s="149"/>
      <c r="BW126" s="149"/>
      <c r="BX126" s="157"/>
      <c r="BY126" s="160"/>
      <c r="BZ126" s="150"/>
      <c r="CA126" s="150"/>
      <c r="CB126" s="176"/>
      <c r="CC126" s="168"/>
      <c r="CD126" s="149"/>
      <c r="CE126" s="149"/>
      <c r="CF126" s="157"/>
      <c r="CG126" s="160"/>
      <c r="CH126" s="150"/>
      <c r="CI126" s="150"/>
      <c r="CJ126" s="176"/>
      <c r="CK126" s="168"/>
      <c r="CL126" s="149"/>
      <c r="CM126" s="149"/>
      <c r="CN126" s="157"/>
      <c r="CO126" s="160"/>
      <c r="CP126" s="150"/>
      <c r="CQ126" s="150"/>
      <c r="CR126" s="176"/>
      <c r="CS126" s="168"/>
      <c r="CT126" s="149"/>
      <c r="CU126" s="149"/>
      <c r="CV126" s="157"/>
      <c r="CW126" s="160"/>
      <c r="CX126" s="150"/>
      <c r="CY126" s="150"/>
      <c r="CZ126" s="176"/>
      <c r="DA126" s="168"/>
      <c r="DB126" s="149"/>
      <c r="DC126" s="149"/>
      <c r="DD126" s="157"/>
    </row>
    <row r="127" spans="2:108" x14ac:dyDescent="0.2">
      <c r="B127" s="183" t="s">
        <v>270</v>
      </c>
      <c r="C127" s="556"/>
      <c r="D127" s="168">
        <f>D125-D126</f>
        <v>0</v>
      </c>
      <c r="E127" s="149">
        <f>E125</f>
        <v>0</v>
      </c>
      <c r="F127" s="149"/>
      <c r="G127" s="149">
        <f>G125</f>
        <v>0</v>
      </c>
      <c r="H127" s="168">
        <f>SUM(I127:AB127)</f>
        <v>0</v>
      </c>
      <c r="I127" s="610">
        <f>-PV(InterestRate,I$8,,(SUM(AC127:AF127)))</f>
        <v>0</v>
      </c>
      <c r="J127" s="610">
        <f>-PV(InterestRate,J$8,,(SUM(AG127:AJ127)))</f>
        <v>0</v>
      </c>
      <c r="K127" s="610">
        <f>-PV(InterestRate,K$8,,(SUM(AK127:AN127)))</f>
        <v>0</v>
      </c>
      <c r="L127" s="610">
        <f>-PV(InterestRate,L$8,,(SUM(AO127:AR127)))</f>
        <v>0</v>
      </c>
      <c r="M127" s="610">
        <f>-PV(InterestRate,M$8,,(SUM(AS127:AV127)))</f>
        <v>0</v>
      </c>
      <c r="N127" s="610">
        <f>-PV(InterestRate,N$8,,(SUM(AW127:AZ127)))</f>
        <v>0</v>
      </c>
      <c r="O127" s="610">
        <f>-PV(InterestRate,O$8,,(SUM(BA127:BD127)))</f>
        <v>0</v>
      </c>
      <c r="P127" s="610">
        <f>-PV(InterestRate,P$8,,(SUM(BE127:BH127)))</f>
        <v>0</v>
      </c>
      <c r="Q127" s="610">
        <f>-PV(InterestRate,Q$8,,(SUM(BI127:BL127)))</f>
        <v>0</v>
      </c>
      <c r="R127" s="610">
        <f>-PV(InterestRate,R$8,,(SUM(BM127:BP127)))</f>
        <v>0</v>
      </c>
      <c r="S127" s="610">
        <f>-PV(InterestRate,S$8,,(SUM(BQ127:BT127)))</f>
        <v>0</v>
      </c>
      <c r="T127" s="610">
        <f>-PV(InterestRate,T$8,,(SUM(BU127:BX127)))</f>
        <v>0</v>
      </c>
      <c r="U127" s="610">
        <f>-PV(InterestRate,U$8,,(SUM(BY127:CB127)))</f>
        <v>0</v>
      </c>
      <c r="V127" s="610">
        <f>-PV(InterestRate,V$8,,(SUM(CC127:CF127)))</f>
        <v>0</v>
      </c>
      <c r="W127" s="610">
        <f>-PV(InterestRate,W$8,,(SUM(CG127:CJ127)))</f>
        <v>0</v>
      </c>
      <c r="X127" s="610">
        <f>-PV(InterestRate,X$8,,(SUM(CK127:CN127)))</f>
        <v>0</v>
      </c>
      <c r="Y127" s="610">
        <f>-PV(InterestRate,Y$8,,(SUM(CO127:CR127)))</f>
        <v>0</v>
      </c>
      <c r="Z127" s="610">
        <f>-PV(InterestRate,Z$8,,(SUM(CS127:CV127)))</f>
        <v>0</v>
      </c>
      <c r="AA127" s="610">
        <f>-PV(InterestRate,AA$8,,(SUM(CW127:CZ127)))</f>
        <v>0</v>
      </c>
      <c r="AB127" s="611">
        <f>-PV(InterestRate,AB$8,,(SUM(DA127:DD127)))</f>
        <v>0</v>
      </c>
      <c r="AC127" s="160">
        <f>IF($C127&gt;0,(IF($C127=$AC$7,$D127,0)),0)</f>
        <v>0</v>
      </c>
      <c r="AD127" s="150">
        <f>IF($C127&gt;0,(IF($AC$7&gt;=$C127+1,$E127,0)),0)</f>
        <v>0</v>
      </c>
      <c r="AE127" s="150">
        <f>IF($C127&gt;0,(IF($C127=$AC$7,$F127,0)),0)</f>
        <v>0</v>
      </c>
      <c r="AF127" s="165">
        <f>IF($C127&gt;0,(IF($AC$7&gt;=$C127+1,$G127,0)),0)</f>
        <v>0</v>
      </c>
      <c r="AG127" s="168">
        <f>IF($C127&gt;0,(IF($C127=$AG$7,(-FV(InflationRate,$AG$7,,$D127)),0)),0)</f>
        <v>0</v>
      </c>
      <c r="AH127" s="149">
        <f>IF($C127&gt;0,(IF($AG$7&gt;=$C127+1, (-FV(InflationRate,$AG$7,,$E127)), 0)),0)</f>
        <v>0</v>
      </c>
      <c r="AI127" s="149">
        <f>IF($C127&gt;0,(IF($AG$7&gt;=$C127+1, (-FV(InflationRate,$AG$7,,$F127)), 0)),0)</f>
        <v>0</v>
      </c>
      <c r="AJ127" s="171">
        <f>IF($C127&gt;0,(IF($AG$7&gt;=$C127+1, (-FV(InflationRate,$AG$7,,$G127)), 0)),0)</f>
        <v>0</v>
      </c>
      <c r="AK127" s="160">
        <f>IF($C127&gt;0,(IF($C127=$AK$7,(-FV(InflationRate,$AK$7,,$D127)),0)),0)</f>
        <v>0</v>
      </c>
      <c r="AL127" s="150">
        <f>IF($C127&gt;0,(IF($AK$7&gt;=$C127+1, (-FV(InflationRate,$AK$7,,$E127)), 0)),0)</f>
        <v>0</v>
      </c>
      <c r="AM127" s="150">
        <f>IF($C127&gt;0,(IF($AK$7&gt;=$C127+1, (-FV(InflationRate,$AK$7,,$F127)), 0)),0)</f>
        <v>0</v>
      </c>
      <c r="AN127" s="165">
        <f>IF($C127&gt;0,(IF($AK$7&gt;=$C127+1, (-FV(InflationRate,$AK$7,,$G127)), 0)),0)</f>
        <v>0</v>
      </c>
      <c r="AO127" s="168">
        <f>IF($C127&gt;0,(IF($C127=$AO$7,(-FV(InflationRate,$AO$7,,$D127)),0)),0)</f>
        <v>0</v>
      </c>
      <c r="AP127" s="149">
        <f>IF($C127&gt;0,(IF($AO$7&gt;=$C127+1, (-FV(InflationRate,$AO$7,,$E127)), 0)),0)</f>
        <v>0</v>
      </c>
      <c r="AQ127" s="149">
        <f>IF($C127&gt;0,(IF($AO$7&gt;=$C127+1, (-FV(InflationRate,$AO$7,,$F127)), 0)),0)</f>
        <v>0</v>
      </c>
      <c r="AR127" s="157">
        <f>IF($C127&gt;0,(IF($AO$7&gt;=$C127+1, (-FV(InflationRate,$AO$7,,$G127)), 0)),0)</f>
        <v>0</v>
      </c>
      <c r="AS127" s="160"/>
      <c r="AT127" s="150"/>
      <c r="AU127" s="150"/>
      <c r="AV127" s="165"/>
      <c r="AW127" s="168"/>
      <c r="AX127" s="149"/>
      <c r="AY127" s="149"/>
      <c r="AZ127" s="157"/>
      <c r="BA127" s="160"/>
      <c r="BB127" s="150"/>
      <c r="BC127" s="150"/>
      <c r="BD127" s="176"/>
      <c r="BE127" s="168"/>
      <c r="BF127" s="149"/>
      <c r="BG127" s="149"/>
      <c r="BH127" s="171"/>
      <c r="BI127" s="160"/>
      <c r="BJ127" s="150"/>
      <c r="BK127" s="150"/>
      <c r="BL127" s="176"/>
      <c r="BM127" s="168"/>
      <c r="BN127" s="149"/>
      <c r="BO127" s="149"/>
      <c r="BP127" s="157"/>
      <c r="BQ127" s="160"/>
      <c r="BR127" s="150"/>
      <c r="BS127" s="150"/>
      <c r="BT127" s="176"/>
      <c r="BU127" s="168"/>
      <c r="BV127" s="149"/>
      <c r="BW127" s="149"/>
      <c r="BX127" s="157"/>
      <c r="BY127" s="160"/>
      <c r="BZ127" s="150"/>
      <c r="CA127" s="150"/>
      <c r="CB127" s="176"/>
      <c r="CC127" s="168"/>
      <c r="CD127" s="149"/>
      <c r="CE127" s="149"/>
      <c r="CF127" s="157"/>
      <c r="CG127" s="160"/>
      <c r="CH127" s="150"/>
      <c r="CI127" s="150"/>
      <c r="CJ127" s="176"/>
      <c r="CK127" s="168"/>
      <c r="CL127" s="149"/>
      <c r="CM127" s="149"/>
      <c r="CN127" s="157"/>
      <c r="CO127" s="160"/>
      <c r="CP127" s="150"/>
      <c r="CQ127" s="150"/>
      <c r="CR127" s="176"/>
      <c r="CS127" s="168"/>
      <c r="CT127" s="149"/>
      <c r="CU127" s="149"/>
      <c r="CV127" s="157"/>
      <c r="CW127" s="160"/>
      <c r="CX127" s="150"/>
      <c r="CY127" s="150"/>
      <c r="CZ127" s="176"/>
      <c r="DA127" s="168"/>
      <c r="DB127" s="149"/>
      <c r="DC127" s="149"/>
      <c r="DD127" s="157"/>
    </row>
    <row r="128" spans="2:108" x14ac:dyDescent="0.2">
      <c r="B128" s="183" t="s">
        <v>203</v>
      </c>
      <c r="C128" s="556"/>
      <c r="D128" s="168"/>
      <c r="E128" s="149"/>
      <c r="F128" s="149">
        <f>F125</f>
        <v>0</v>
      </c>
      <c r="G128" s="149"/>
      <c r="H128" s="168">
        <f>SUM(I128:AB128)</f>
        <v>0</v>
      </c>
      <c r="I128" s="610">
        <f>-PV(InterestRate,I$8,,(SUM(AC128:AF128)))</f>
        <v>0</v>
      </c>
      <c r="J128" s="610">
        <f>-PV(InterestRate,J$8,,(SUM(AG128:AJ128)))</f>
        <v>0</v>
      </c>
      <c r="K128" s="610">
        <f>-PV(InterestRate,K$8,,(SUM(AK128:AN128)))</f>
        <v>0</v>
      </c>
      <c r="L128" s="610">
        <f>-PV(InterestRate,L$8,,(SUM(AO128:AR128)))</f>
        <v>0</v>
      </c>
      <c r="M128" s="610">
        <f>-PV(InterestRate,M$8,,(SUM(AS128:AV128)))</f>
        <v>0</v>
      </c>
      <c r="N128" s="610">
        <f>-PV(InterestRate,N$8,,(SUM(AW128:AZ128)))</f>
        <v>0</v>
      </c>
      <c r="O128" s="610">
        <f>-PV(InterestRate,O$8,,(SUM(BA128:BD128)))</f>
        <v>0</v>
      </c>
      <c r="P128" s="610">
        <f>-PV(InterestRate,P$8,,(SUM(BE128:BH128)))</f>
        <v>0</v>
      </c>
      <c r="Q128" s="610">
        <f>-PV(InterestRate,Q$8,,(SUM(BI128:BL128)))</f>
        <v>0</v>
      </c>
      <c r="R128" s="610">
        <f>-PV(InterestRate,R$8,,(SUM(BM128:BP128)))</f>
        <v>0</v>
      </c>
      <c r="S128" s="610">
        <f>-PV(InterestRate,S$8,,(SUM(BQ128:BT128)))</f>
        <v>0</v>
      </c>
      <c r="T128" s="610">
        <f>-PV(InterestRate,T$8,,(SUM(BU128:BX128)))</f>
        <v>0</v>
      </c>
      <c r="U128" s="610">
        <f>-PV(InterestRate,U$8,,(SUM(BY128:CB128)))</f>
        <v>0</v>
      </c>
      <c r="V128" s="610">
        <f>-PV(InterestRate,V$8,,(SUM(CC128:CF128)))</f>
        <v>0</v>
      </c>
      <c r="W128" s="610">
        <f>-PV(InterestRate,W$8,,(SUM(CG128:CJ128)))</f>
        <v>0</v>
      </c>
      <c r="X128" s="610">
        <f>-PV(InterestRate,X$8,,(SUM(CK128:CN128)))</f>
        <v>0</v>
      </c>
      <c r="Y128" s="610">
        <f>-PV(InterestRate,Y$8,,(SUM(CO128:CR128)))</f>
        <v>0</v>
      </c>
      <c r="Z128" s="610">
        <f>-PV(InterestRate,Z$8,,(SUM(CS128:CV128)))</f>
        <v>0</v>
      </c>
      <c r="AA128" s="610">
        <f>-PV(InterestRate,AA$8,,(SUM(CW128:CZ128)))</f>
        <v>0</v>
      </c>
      <c r="AB128" s="611">
        <f>-PV(InterestRate,AB$8,,(SUM(DA128:DD128)))</f>
        <v>0</v>
      </c>
      <c r="AC128" s="160">
        <f>IF($C128&gt;0,(IF($C128=$AC$7,$D128,0)),0)</f>
        <v>0</v>
      </c>
      <c r="AD128" s="150">
        <f>IF($C128&gt;0,(IF($AC$7&gt;=$C128+1,$E128,0)),0)</f>
        <v>0</v>
      </c>
      <c r="AE128" s="150">
        <f>IF($C128&gt;0,(IF($C128=$AC$7,$F128,0)),0)</f>
        <v>0</v>
      </c>
      <c r="AF128" s="165">
        <f>IF($C128&gt;0,(IF($AC$7&gt;=$C128+1,$G128,0)),0)</f>
        <v>0</v>
      </c>
      <c r="AG128" s="168">
        <f>IF($C128&gt;0,(IF($C128=$AG$7,(-FV(InflationRate,$AG$7,,$D128)),0)),0)</f>
        <v>0</v>
      </c>
      <c r="AH128" s="149">
        <f>IF($C128&gt;0,(IF($AG$7&gt;=$C128+1, (-FV(InflationRate,$AG$7,,$E128)), 0)),0)</f>
        <v>0</v>
      </c>
      <c r="AI128" s="149">
        <f>IF($C128&gt;0,(IF($AG$7&gt;=$C128+1, (-FV(InflationRate,$AG$7,,$F128)), 0)),0)</f>
        <v>0</v>
      </c>
      <c r="AJ128" s="171">
        <f>IF($C128&gt;0,(IF($AG$7&gt;=$C128+1, (-FV(InflationRate,$AG$7,,$G128)), 0)),0)</f>
        <v>0</v>
      </c>
      <c r="AK128" s="160">
        <f>IF($C128&gt;0,(IF($C128=$AK$7,(-FV(InflationRate,$AK$7,,$D128)),0)),0)</f>
        <v>0</v>
      </c>
      <c r="AL128" s="150">
        <f>IF($C128&gt;0,(IF($AK$7&gt;=$C128+1, (-FV(InflationRate,$AK$7,,$E128)), 0)),0)</f>
        <v>0</v>
      </c>
      <c r="AM128" s="150">
        <f>IF($C128&gt;0,(IF($AK$7&gt;=$C128+1, (-FV(InflationRate,$AK$7,,$F128)), 0)),0)</f>
        <v>0</v>
      </c>
      <c r="AN128" s="165">
        <f>IF($C128&gt;0,(IF($AK$7&gt;=$C128+1, (-FV(InflationRate,$AK$7,,$G128)), 0)),0)</f>
        <v>0</v>
      </c>
      <c r="AO128" s="168">
        <f>IF($C128&gt;0,(IF($C128=$AO$7,(-FV(InflationRate,$AO$7,,$D128)),0)),0)</f>
        <v>0</v>
      </c>
      <c r="AP128" s="149">
        <f>IF($C128&gt;0,(IF($AO$7&gt;=$C128+1, (-FV(InflationRate,$AO$7,,$E128)), 0)),0)</f>
        <v>0</v>
      </c>
      <c r="AQ128" s="149">
        <f>IF($C128&gt;0,(IF($AO$7&gt;=$C128+1, (-FV(InflationRate,$AO$7,,$F128)), 0)),0)</f>
        <v>0</v>
      </c>
      <c r="AR128" s="157">
        <f>IF($C128&gt;0,(IF($AO$7&gt;=$C128+1, (-FV(InflationRate,$AO$7,,$G128)), 0)),0)</f>
        <v>0</v>
      </c>
      <c r="AS128" s="160"/>
      <c r="AT128" s="150"/>
      <c r="AU128" s="150"/>
      <c r="AV128" s="165"/>
      <c r="AW128" s="168"/>
      <c r="AX128" s="149"/>
      <c r="AY128" s="149"/>
      <c r="AZ128" s="157"/>
      <c r="BA128" s="160"/>
      <c r="BB128" s="150"/>
      <c r="BC128" s="150"/>
      <c r="BD128" s="176"/>
      <c r="BE128" s="168"/>
      <c r="BF128" s="149"/>
      <c r="BG128" s="149"/>
      <c r="BH128" s="171"/>
      <c r="BI128" s="160"/>
      <c r="BJ128" s="150"/>
      <c r="BK128" s="150"/>
      <c r="BL128" s="176"/>
      <c r="BM128" s="168"/>
      <c r="BN128" s="149"/>
      <c r="BO128" s="149"/>
      <c r="BP128" s="157"/>
      <c r="BQ128" s="160"/>
      <c r="BR128" s="150"/>
      <c r="BS128" s="150"/>
      <c r="BT128" s="176"/>
      <c r="BU128" s="168"/>
      <c r="BV128" s="149"/>
      <c r="BW128" s="149"/>
      <c r="BX128" s="157"/>
      <c r="BY128" s="160"/>
      <c r="BZ128" s="150"/>
      <c r="CA128" s="150"/>
      <c r="CB128" s="176"/>
      <c r="CC128" s="168"/>
      <c r="CD128" s="149"/>
      <c r="CE128" s="149"/>
      <c r="CF128" s="157"/>
      <c r="CG128" s="160"/>
      <c r="CH128" s="150"/>
      <c r="CI128" s="150"/>
      <c r="CJ128" s="176"/>
      <c r="CK128" s="168"/>
      <c r="CL128" s="149"/>
      <c r="CM128" s="149"/>
      <c r="CN128" s="157"/>
      <c r="CO128" s="160"/>
      <c r="CP128" s="150"/>
      <c r="CQ128" s="150"/>
      <c r="CR128" s="176"/>
      <c r="CS128" s="168"/>
      <c r="CT128" s="149"/>
      <c r="CU128" s="149"/>
      <c r="CV128" s="157"/>
      <c r="CW128" s="160"/>
      <c r="CX128" s="150"/>
      <c r="CY128" s="150"/>
      <c r="CZ128" s="176"/>
      <c r="DA128" s="168"/>
      <c r="DB128" s="149"/>
      <c r="DC128" s="149"/>
      <c r="DD128" s="157"/>
    </row>
    <row r="129" spans="2:108" x14ac:dyDescent="0.2">
      <c r="B129" s="183"/>
      <c r="C129" s="189"/>
      <c r="D129" s="168"/>
      <c r="E129" s="149"/>
      <c r="F129" s="149"/>
      <c r="G129" s="149"/>
      <c r="H129" s="168"/>
      <c r="I129" s="600"/>
      <c r="J129" s="600"/>
      <c r="K129" s="600"/>
      <c r="L129" s="600"/>
      <c r="M129" s="600"/>
      <c r="N129" s="600"/>
      <c r="O129" s="600"/>
      <c r="P129" s="600"/>
      <c r="Q129" s="600"/>
      <c r="R129" s="600"/>
      <c r="S129" s="600"/>
      <c r="T129" s="600"/>
      <c r="U129" s="600"/>
      <c r="V129" s="600"/>
      <c r="W129" s="600"/>
      <c r="X129" s="600"/>
      <c r="Y129" s="600"/>
      <c r="Z129" s="600"/>
      <c r="AA129" s="600"/>
      <c r="AB129" s="601"/>
      <c r="AC129" s="160"/>
      <c r="AD129" s="150"/>
      <c r="AE129" s="150"/>
      <c r="AF129" s="165"/>
      <c r="AG129" s="168"/>
      <c r="AH129" s="149"/>
      <c r="AI129" s="149"/>
      <c r="AJ129" s="171"/>
      <c r="AK129" s="160"/>
      <c r="AL129" s="150"/>
      <c r="AM129" s="150"/>
      <c r="AN129" s="165"/>
      <c r="AO129" s="168"/>
      <c r="AP129" s="149"/>
      <c r="AQ129" s="149"/>
      <c r="AR129" s="157"/>
      <c r="AS129" s="160"/>
      <c r="AT129" s="150"/>
      <c r="AU129" s="150"/>
      <c r="AV129" s="165"/>
      <c r="AW129" s="168"/>
      <c r="AX129" s="149"/>
      <c r="AY129" s="149"/>
      <c r="AZ129" s="157"/>
      <c r="BA129" s="160"/>
      <c r="BB129" s="150"/>
      <c r="BC129" s="150"/>
      <c r="BD129" s="176"/>
      <c r="BE129" s="168"/>
      <c r="BF129" s="149"/>
      <c r="BG129" s="149"/>
      <c r="BH129" s="171"/>
      <c r="BI129" s="160"/>
      <c r="BJ129" s="150"/>
      <c r="BK129" s="150"/>
      <c r="BL129" s="176"/>
      <c r="BM129" s="168"/>
      <c r="BN129" s="149"/>
      <c r="BO129" s="149"/>
      <c r="BP129" s="157"/>
      <c r="BQ129" s="160"/>
      <c r="BR129" s="150"/>
      <c r="BS129" s="150"/>
      <c r="BT129" s="176"/>
      <c r="BU129" s="168"/>
      <c r="BV129" s="149"/>
      <c r="BW129" s="149"/>
      <c r="BX129" s="157"/>
      <c r="BY129" s="160"/>
      <c r="BZ129" s="150"/>
      <c r="CA129" s="150"/>
      <c r="CB129" s="176"/>
      <c r="CC129" s="168"/>
      <c r="CD129" s="149"/>
      <c r="CE129" s="149"/>
      <c r="CF129" s="157"/>
      <c r="CG129" s="160"/>
      <c r="CH129" s="150"/>
      <c r="CI129" s="150"/>
      <c r="CJ129" s="176"/>
      <c r="CK129" s="168"/>
      <c r="CL129" s="149"/>
      <c r="CM129" s="149"/>
      <c r="CN129" s="157"/>
      <c r="CO129" s="160"/>
      <c r="CP129" s="150"/>
      <c r="CQ129" s="150"/>
      <c r="CR129" s="176"/>
      <c r="CS129" s="168"/>
      <c r="CT129" s="149"/>
      <c r="CU129" s="149"/>
      <c r="CV129" s="157"/>
      <c r="CW129" s="160"/>
      <c r="CX129" s="150"/>
      <c r="CY129" s="150"/>
      <c r="CZ129" s="176"/>
      <c r="DA129" s="168"/>
      <c r="DB129" s="149"/>
      <c r="DC129" s="149"/>
      <c r="DD129" s="157"/>
    </row>
    <row r="130" spans="2:108" x14ac:dyDescent="0.2">
      <c r="B130" s="182" t="str">
        <f>'FCW - D2'!B5</f>
        <v>Floating Constructed Wetlands - Demonstration 2 - Lonnie's Pond</v>
      </c>
      <c r="C130" s="189"/>
      <c r="D130" s="194">
        <f>'FCW - D2'!F34</f>
        <v>2222600</v>
      </c>
      <c r="E130" s="195">
        <f>'FCW - D2'!F63</f>
        <v>13600</v>
      </c>
      <c r="F130" s="195">
        <f>'FCW - D2'!F94</f>
        <v>25500</v>
      </c>
      <c r="G130" s="195">
        <f>'FCW - D2'!F123</f>
        <v>127100</v>
      </c>
      <c r="H130" s="168"/>
      <c r="I130" s="600"/>
      <c r="J130" s="600"/>
      <c r="K130" s="600"/>
      <c r="L130" s="600"/>
      <c r="M130" s="600"/>
      <c r="N130" s="600"/>
      <c r="O130" s="600"/>
      <c r="P130" s="600"/>
      <c r="Q130" s="600"/>
      <c r="R130" s="600"/>
      <c r="S130" s="600"/>
      <c r="T130" s="600"/>
      <c r="U130" s="600"/>
      <c r="V130" s="600"/>
      <c r="W130" s="600"/>
      <c r="X130" s="600"/>
      <c r="Y130" s="600"/>
      <c r="Z130" s="600"/>
      <c r="AA130" s="600"/>
      <c r="AB130" s="601"/>
      <c r="AC130" s="160"/>
      <c r="AD130" s="150"/>
      <c r="AE130" s="150"/>
      <c r="AF130" s="165"/>
      <c r="AG130" s="168"/>
      <c r="AH130" s="149"/>
      <c r="AI130" s="149"/>
      <c r="AJ130" s="171"/>
      <c r="AK130" s="160"/>
      <c r="AL130" s="150"/>
      <c r="AM130" s="150"/>
      <c r="AN130" s="165"/>
      <c r="AO130" s="168"/>
      <c r="AP130" s="149"/>
      <c r="AQ130" s="149"/>
      <c r="AR130" s="157"/>
      <c r="AS130" s="160"/>
      <c r="AT130" s="150"/>
      <c r="AU130" s="150"/>
      <c r="AV130" s="165"/>
      <c r="AW130" s="168"/>
      <c r="AX130" s="149"/>
      <c r="AY130" s="149"/>
      <c r="AZ130" s="157"/>
      <c r="BA130" s="160"/>
      <c r="BB130" s="150"/>
      <c r="BC130" s="150"/>
      <c r="BD130" s="176"/>
      <c r="BE130" s="168"/>
      <c r="BF130" s="149"/>
      <c r="BG130" s="149"/>
      <c r="BH130" s="171"/>
      <c r="BI130" s="160"/>
      <c r="BJ130" s="150"/>
      <c r="BK130" s="150"/>
      <c r="BL130" s="176"/>
      <c r="BM130" s="168"/>
      <c r="BN130" s="149"/>
      <c r="BO130" s="149"/>
      <c r="BP130" s="157"/>
      <c r="BQ130" s="160"/>
      <c r="BR130" s="150"/>
      <c r="BS130" s="150"/>
      <c r="BT130" s="176"/>
      <c r="BU130" s="168"/>
      <c r="BV130" s="149"/>
      <c r="BW130" s="149"/>
      <c r="BX130" s="157"/>
      <c r="BY130" s="160"/>
      <c r="BZ130" s="150"/>
      <c r="CA130" s="150"/>
      <c r="CB130" s="176"/>
      <c r="CC130" s="168"/>
      <c r="CD130" s="149"/>
      <c r="CE130" s="149"/>
      <c r="CF130" s="157"/>
      <c r="CG130" s="160"/>
      <c r="CH130" s="150"/>
      <c r="CI130" s="150"/>
      <c r="CJ130" s="176"/>
      <c r="CK130" s="168"/>
      <c r="CL130" s="149"/>
      <c r="CM130" s="149"/>
      <c r="CN130" s="157"/>
      <c r="CO130" s="160"/>
      <c r="CP130" s="150"/>
      <c r="CQ130" s="150"/>
      <c r="CR130" s="176"/>
      <c r="CS130" s="168"/>
      <c r="CT130" s="149"/>
      <c r="CU130" s="149"/>
      <c r="CV130" s="157"/>
      <c r="CW130" s="160"/>
      <c r="CX130" s="150"/>
      <c r="CY130" s="150"/>
      <c r="CZ130" s="176"/>
      <c r="DA130" s="168"/>
      <c r="DB130" s="149"/>
      <c r="DC130" s="149"/>
      <c r="DD130" s="157"/>
    </row>
    <row r="131" spans="2:108" x14ac:dyDescent="0.2">
      <c r="B131" s="183" t="s">
        <v>220</v>
      </c>
      <c r="C131" s="556">
        <v>3</v>
      </c>
      <c r="D131" s="168">
        <f>'FCW - D2'!F31+'FCW - D2'!F32</f>
        <v>246900</v>
      </c>
      <c r="E131" s="149"/>
      <c r="F131" s="149"/>
      <c r="G131" s="149"/>
      <c r="H131" s="168">
        <f>SUM(I131:AB131)</f>
        <v>258008.87036609137</v>
      </c>
      <c r="I131" s="610">
        <f>-PV(InterestRate,I$8,,(SUM(AC131:AF131)))</f>
        <v>0</v>
      </c>
      <c r="J131" s="610">
        <f>-PV(InterestRate,J$8,,(SUM(AG131:AJ131)))</f>
        <v>0</v>
      </c>
      <c r="K131" s="610">
        <f>-PV(InterestRate,K$8,,(SUM(AK131:AN131)))</f>
        <v>258008.87036609137</v>
      </c>
      <c r="L131" s="610">
        <f>-PV(InterestRate,L$8,,(SUM(AO131:AR131)))</f>
        <v>0</v>
      </c>
      <c r="M131" s="610">
        <f>-PV(InterestRate,M$8,,(SUM(AS131:AV131)))</f>
        <v>0</v>
      </c>
      <c r="N131" s="610">
        <f>-PV(InterestRate,N$8,,(SUM(AW131:AZ131)))</f>
        <v>0</v>
      </c>
      <c r="O131" s="610">
        <f>-PV(InterestRate,O$8,,(SUM(BA131:BD131)))</f>
        <v>0</v>
      </c>
      <c r="P131" s="610">
        <f>-PV(InterestRate,P$8,,(SUM(BE131:BH131)))</f>
        <v>0</v>
      </c>
      <c r="Q131" s="610">
        <f>-PV(InterestRate,Q$8,,(SUM(BI131:BL131)))</f>
        <v>0</v>
      </c>
      <c r="R131" s="610">
        <f>-PV(InterestRate,R$8,,(SUM(BM131:BP131)))</f>
        <v>0</v>
      </c>
      <c r="S131" s="610">
        <f>-PV(InterestRate,S$8,,(SUM(BQ131:BT131)))</f>
        <v>0</v>
      </c>
      <c r="T131" s="610">
        <f>-PV(InterestRate,T$8,,(SUM(BU131:BX131)))</f>
        <v>0</v>
      </c>
      <c r="U131" s="610">
        <f>-PV(InterestRate,U$8,,(SUM(BY131:CB131)))</f>
        <v>0</v>
      </c>
      <c r="V131" s="610">
        <f>-PV(InterestRate,V$8,,(SUM(CC131:CF131)))</f>
        <v>0</v>
      </c>
      <c r="W131" s="610">
        <f>-PV(InterestRate,W$8,,(SUM(CG131:CJ131)))</f>
        <v>0</v>
      </c>
      <c r="X131" s="610">
        <f>-PV(InterestRate,X$8,,(SUM(CK131:CN131)))</f>
        <v>0</v>
      </c>
      <c r="Y131" s="610">
        <f>-PV(InterestRate,Y$8,,(SUM(CO131:CR131)))</f>
        <v>0</v>
      </c>
      <c r="Z131" s="610">
        <f>-PV(InterestRate,Z$8,,(SUM(CS131:CV131)))</f>
        <v>0</v>
      </c>
      <c r="AA131" s="610">
        <f>-PV(InterestRate,AA$8,,(SUM(CW131:CZ131)))</f>
        <v>0</v>
      </c>
      <c r="AB131" s="611">
        <f>-PV(InterestRate,AB$8,,(SUM(DA131:DD131)))</f>
        <v>0</v>
      </c>
      <c r="AC131" s="160">
        <f>IF($C131&gt;0,(IF($C131=$AC$7,$D131,0)),0)</f>
        <v>0</v>
      </c>
      <c r="AD131" s="150">
        <f>IF($C131&gt;0,(IF($AC$7&gt;=$C131+1,$E131,0)),0)</f>
        <v>0</v>
      </c>
      <c r="AE131" s="150">
        <f>IF($C131&gt;0,(IF($C131=$AC$7,$F131,0)),0)</f>
        <v>0</v>
      </c>
      <c r="AF131" s="165">
        <f>IF($C131&gt;0,(IF($AC$7&gt;=$C131+1,$G131,0)),0)</f>
        <v>0</v>
      </c>
      <c r="AG131" s="168">
        <f>IF($C131&gt;0,(IF($C131=$AG$7,(-FV(InflationRate,$AG$7,,$D131)),0)),0)</f>
        <v>0</v>
      </c>
      <c r="AH131" s="149">
        <f>IF($C131&gt;0,(IF($AG$7&gt;=$C131+1, (-FV(InflationRate,$AG$7,,$E131)), 0)),0)</f>
        <v>0</v>
      </c>
      <c r="AI131" s="149">
        <f>IF($C131&gt;0,(IF($AG$7&gt;=$C131+1, (-FV(InflationRate,$AG$7,,$F131)), 0)),0)</f>
        <v>0</v>
      </c>
      <c r="AJ131" s="171">
        <f>IF($C131&gt;0,(IF($AG$7&gt;=$C131+1, (-FV(InflationRate,$AG$7,,$G131)), 0)),0)</f>
        <v>0</v>
      </c>
      <c r="AK131" s="160">
        <f>IF($C131&gt;0,(IF($C131=$AK$7,(-FV(InflationRate,$AK$7,,$D131)),0)),0)</f>
        <v>269794.29629999999</v>
      </c>
      <c r="AL131" s="150">
        <f>IF($C131&gt;0,(IF($AK$7&gt;=$C131+1, (-FV(InflationRate,$AK$7,,$E131)), 0)),0)</f>
        <v>0</v>
      </c>
      <c r="AM131" s="150">
        <f>IF($C131&gt;0,(IF($AK$7&gt;=$C131+1, (-FV(InflationRate,$AK$7,,$F131)), 0)),0)</f>
        <v>0</v>
      </c>
      <c r="AN131" s="165">
        <f>IF($C131&gt;0,(IF($AK$7&gt;=$C131+1, (-FV(InflationRate,$AK$7,,$G131)), 0)),0)</f>
        <v>0</v>
      </c>
      <c r="AO131" s="168">
        <f>IF($C131&gt;0,(IF($C131=$AO$7,(-FV(InflationRate,$AO$7,,$D131)),0)),0)</f>
        <v>0</v>
      </c>
      <c r="AP131" s="149">
        <f>IF($C131&gt;0,(IF($AO$7&gt;=$C131+1, (-FV(InflationRate,$AO$7,,$E131)), 0)),0)</f>
        <v>0</v>
      </c>
      <c r="AQ131" s="149">
        <f>IF($C131&gt;0,(IF($AO$7&gt;=$C131+1, (-FV(InflationRate,$AO$7,,$F131)), 0)),0)</f>
        <v>0</v>
      </c>
      <c r="AR131" s="157">
        <f>IF($C131&gt;0,(IF($AO$7&gt;=$C131+1, (-FV(InflationRate,$AO$7,,$G131)), 0)),0)</f>
        <v>0</v>
      </c>
      <c r="AS131" s="160"/>
      <c r="AT131" s="150"/>
      <c r="AU131" s="150"/>
      <c r="AV131" s="165"/>
      <c r="AW131" s="168"/>
      <c r="AX131" s="149"/>
      <c r="AY131" s="149"/>
      <c r="AZ131" s="157"/>
      <c r="BA131" s="160"/>
      <c r="BB131" s="150"/>
      <c r="BC131" s="150"/>
      <c r="BD131" s="176"/>
      <c r="BE131" s="168"/>
      <c r="BF131" s="149"/>
      <c r="BG131" s="149"/>
      <c r="BH131" s="171"/>
      <c r="BI131" s="160"/>
      <c r="BJ131" s="150"/>
      <c r="BK131" s="150"/>
      <c r="BL131" s="176"/>
      <c r="BM131" s="168"/>
      <c r="BN131" s="149"/>
      <c r="BO131" s="149"/>
      <c r="BP131" s="157"/>
      <c r="BQ131" s="160"/>
      <c r="BR131" s="150"/>
      <c r="BS131" s="150"/>
      <c r="BT131" s="176"/>
      <c r="BU131" s="168"/>
      <c r="BV131" s="149"/>
      <c r="BW131" s="149"/>
      <c r="BX131" s="157"/>
      <c r="BY131" s="160"/>
      <c r="BZ131" s="150"/>
      <c r="CA131" s="150"/>
      <c r="CB131" s="176"/>
      <c r="CC131" s="168"/>
      <c r="CD131" s="149"/>
      <c r="CE131" s="149"/>
      <c r="CF131" s="157"/>
      <c r="CG131" s="160"/>
      <c r="CH131" s="150"/>
      <c r="CI131" s="150"/>
      <c r="CJ131" s="176"/>
      <c r="CK131" s="168"/>
      <c r="CL131" s="149"/>
      <c r="CM131" s="149"/>
      <c r="CN131" s="157"/>
      <c r="CO131" s="160"/>
      <c r="CP131" s="150"/>
      <c r="CQ131" s="150"/>
      <c r="CR131" s="176"/>
      <c r="CS131" s="168"/>
      <c r="CT131" s="149"/>
      <c r="CU131" s="149"/>
      <c r="CV131" s="157"/>
      <c r="CW131" s="160"/>
      <c r="CX131" s="150"/>
      <c r="CY131" s="150"/>
      <c r="CZ131" s="176"/>
      <c r="DA131" s="168"/>
      <c r="DB131" s="149"/>
      <c r="DC131" s="149"/>
      <c r="DD131" s="157"/>
    </row>
    <row r="132" spans="2:108" x14ac:dyDescent="0.2">
      <c r="B132" s="183" t="s">
        <v>270</v>
      </c>
      <c r="C132" s="556">
        <v>4</v>
      </c>
      <c r="D132" s="168">
        <f>D130-D131</f>
        <v>1975700</v>
      </c>
      <c r="E132" s="149">
        <f>E130</f>
        <v>13600</v>
      </c>
      <c r="F132" s="149"/>
      <c r="G132" s="149">
        <f>G130</f>
        <v>127100</v>
      </c>
      <c r="H132" s="168">
        <f>SUM(I132:AB132)</f>
        <v>2095104.6930220663</v>
      </c>
      <c r="I132" s="610">
        <f>-PV(InterestRate,I$8,,(SUM(AC132:AF132)))</f>
        <v>0</v>
      </c>
      <c r="J132" s="610">
        <f>-PV(InterestRate,J$8,,(SUM(AG132:AJ132)))</f>
        <v>0</v>
      </c>
      <c r="K132" s="610">
        <f>-PV(InterestRate,K$8,,(SUM(AK132:AN132)))</f>
        <v>0</v>
      </c>
      <c r="L132" s="610">
        <f>-PV(InterestRate,L$8,,(SUM(AO132:AR132)))</f>
        <v>2095104.6930220663</v>
      </c>
      <c r="M132" s="610">
        <f>-PV(InterestRate,M$8,,(SUM(AS132:AV132)))</f>
        <v>0</v>
      </c>
      <c r="N132" s="610">
        <f>-PV(InterestRate,N$8,,(SUM(AW132:AZ132)))</f>
        <v>0</v>
      </c>
      <c r="O132" s="610">
        <f>-PV(InterestRate,O$8,,(SUM(BA132:BD132)))</f>
        <v>0</v>
      </c>
      <c r="P132" s="610">
        <f>-PV(InterestRate,P$8,,(SUM(BE132:BH132)))</f>
        <v>0</v>
      </c>
      <c r="Q132" s="610">
        <f>-PV(InterestRate,Q$8,,(SUM(BI132:BL132)))</f>
        <v>0</v>
      </c>
      <c r="R132" s="610">
        <f>-PV(InterestRate,R$8,,(SUM(BM132:BP132)))</f>
        <v>0</v>
      </c>
      <c r="S132" s="610">
        <f>-PV(InterestRate,S$8,,(SUM(BQ132:BT132)))</f>
        <v>0</v>
      </c>
      <c r="T132" s="610">
        <f>-PV(InterestRate,T$8,,(SUM(BU132:BX132)))</f>
        <v>0</v>
      </c>
      <c r="U132" s="610">
        <f>-PV(InterestRate,U$8,,(SUM(BY132:CB132)))</f>
        <v>0</v>
      </c>
      <c r="V132" s="610">
        <f>-PV(InterestRate,V$8,,(SUM(CC132:CF132)))</f>
        <v>0</v>
      </c>
      <c r="W132" s="610">
        <f>-PV(InterestRate,W$8,,(SUM(CG132:CJ132)))</f>
        <v>0</v>
      </c>
      <c r="X132" s="610">
        <f>-PV(InterestRate,X$8,,(SUM(CK132:CN132)))</f>
        <v>0</v>
      </c>
      <c r="Y132" s="610">
        <f>-PV(InterestRate,Y$8,,(SUM(CO132:CR132)))</f>
        <v>0</v>
      </c>
      <c r="Z132" s="610">
        <f>-PV(InterestRate,Z$8,,(SUM(CS132:CV132)))</f>
        <v>0</v>
      </c>
      <c r="AA132" s="610">
        <f>-PV(InterestRate,AA$8,,(SUM(CW132:CZ132)))</f>
        <v>0</v>
      </c>
      <c r="AB132" s="611">
        <f>-PV(InterestRate,AB$8,,(SUM(DA132:DD132)))</f>
        <v>0</v>
      </c>
      <c r="AC132" s="160">
        <f>IF($C132&gt;0,(IF($C132=$AC$7,$D132,0)),0)</f>
        <v>0</v>
      </c>
      <c r="AD132" s="150">
        <f>IF($C132&gt;0,(IF($AC$7&gt;=$C132+1,$E132,0)),0)</f>
        <v>0</v>
      </c>
      <c r="AE132" s="150">
        <f>IF($C132&gt;0,(IF($C132=$AC$7,$F132,0)),0)</f>
        <v>0</v>
      </c>
      <c r="AF132" s="165">
        <f>IF($C132&gt;0,(IF($AC$7&gt;=$C132+1,$G132,0)),0)</f>
        <v>0</v>
      </c>
      <c r="AG132" s="168">
        <f>IF($C132&gt;0,(IF($C132=$AG$7,(-FV(InflationRate,$AG$7,,$D132)),0)),0)</f>
        <v>0</v>
      </c>
      <c r="AH132" s="149">
        <f>IF($C132&gt;0,(IF($AG$7&gt;=$C132+1, (-FV(InflationRate,$AG$7,,$E132)), 0)),0)</f>
        <v>0</v>
      </c>
      <c r="AI132" s="149">
        <f>IF($C132&gt;0,(IF($AG$7&gt;=$C132+1, (-FV(InflationRate,$AG$7,,$F132)), 0)),0)</f>
        <v>0</v>
      </c>
      <c r="AJ132" s="171">
        <f>IF($C132&gt;0,(IF($AG$7&gt;=$C132+1, (-FV(InflationRate,$AG$7,,$G132)), 0)),0)</f>
        <v>0</v>
      </c>
      <c r="AK132" s="160">
        <f>IF($C132&gt;0,(IF($C132=$AK$7,(-FV(InflationRate,$AK$7,,$D132)),0)),0)</f>
        <v>0</v>
      </c>
      <c r="AL132" s="150">
        <f>IF($C132&gt;0,(IF($AK$7&gt;=$C132+1, (-FV(InflationRate,$AK$7,,$E132)), 0)),0)</f>
        <v>0</v>
      </c>
      <c r="AM132" s="150">
        <f>IF($C132&gt;0,(IF($AK$7&gt;=$C132+1, (-FV(InflationRate,$AK$7,,$F132)), 0)),0)</f>
        <v>0</v>
      </c>
      <c r="AN132" s="165">
        <f>IF($C132&gt;0,(IF($AK$7&gt;=$C132+1, (-FV(InflationRate,$AK$7,,$G132)), 0)),0)</f>
        <v>0</v>
      </c>
      <c r="AO132" s="168">
        <f>IF($C132&gt;0,(IF($C132=$AO$7,(-FV(InflationRate,$AO$7,,$D132)),0)),0)</f>
        <v>2223667.7559169997</v>
      </c>
      <c r="AP132" s="149">
        <f>IF($C132&gt;0,(IF($AO$7&gt;=$C132+1, (-FV(InflationRate,$AO$7,,$E132)), 0)),0)</f>
        <v>0</v>
      </c>
      <c r="AQ132" s="149">
        <f>IF($C132&gt;0,(IF($AO$7&gt;=$C132+1, (-FV(InflationRate,$AO$7,,$F132)), 0)),0)</f>
        <v>0</v>
      </c>
      <c r="AR132" s="157">
        <f>IF($C132&gt;0,(IF($AO$7&gt;=$C132+1, (-FV(InflationRate,$AO$7,,$G132)), 0)),0)</f>
        <v>0</v>
      </c>
      <c r="AS132" s="160"/>
      <c r="AT132" s="150"/>
      <c r="AU132" s="150"/>
      <c r="AV132" s="165"/>
      <c r="AW132" s="168"/>
      <c r="AX132" s="149"/>
      <c r="AY132" s="149"/>
      <c r="AZ132" s="157"/>
      <c r="BA132" s="160"/>
      <c r="BB132" s="150"/>
      <c r="BC132" s="150"/>
      <c r="BD132" s="176"/>
      <c r="BE132" s="168"/>
      <c r="BF132" s="149"/>
      <c r="BG132" s="149"/>
      <c r="BH132" s="171"/>
      <c r="BI132" s="160"/>
      <c r="BJ132" s="150"/>
      <c r="BK132" s="150"/>
      <c r="BL132" s="176"/>
      <c r="BM132" s="168"/>
      <c r="BN132" s="149"/>
      <c r="BO132" s="149"/>
      <c r="BP132" s="157"/>
      <c r="BQ132" s="160"/>
      <c r="BR132" s="150"/>
      <c r="BS132" s="150"/>
      <c r="BT132" s="176"/>
      <c r="BU132" s="168"/>
      <c r="BV132" s="149"/>
      <c r="BW132" s="149"/>
      <c r="BX132" s="157"/>
      <c r="BY132" s="160"/>
      <c r="BZ132" s="150"/>
      <c r="CA132" s="150"/>
      <c r="CB132" s="176"/>
      <c r="CC132" s="168"/>
      <c r="CD132" s="149"/>
      <c r="CE132" s="149"/>
      <c r="CF132" s="157"/>
      <c r="CG132" s="160"/>
      <c r="CH132" s="150"/>
      <c r="CI132" s="150"/>
      <c r="CJ132" s="176"/>
      <c r="CK132" s="168"/>
      <c r="CL132" s="149"/>
      <c r="CM132" s="149"/>
      <c r="CN132" s="157"/>
      <c r="CO132" s="160"/>
      <c r="CP132" s="150"/>
      <c r="CQ132" s="150"/>
      <c r="CR132" s="176"/>
      <c r="CS132" s="168"/>
      <c r="CT132" s="149"/>
      <c r="CU132" s="149"/>
      <c r="CV132" s="157"/>
      <c r="CW132" s="160"/>
      <c r="CX132" s="150"/>
      <c r="CY132" s="150"/>
      <c r="CZ132" s="176"/>
      <c r="DA132" s="168"/>
      <c r="DB132" s="149"/>
      <c r="DC132" s="149"/>
      <c r="DD132" s="157"/>
    </row>
    <row r="133" spans="2:108" x14ac:dyDescent="0.2">
      <c r="B133" s="183" t="s">
        <v>203</v>
      </c>
      <c r="C133" s="556"/>
      <c r="D133" s="168"/>
      <c r="E133" s="149"/>
      <c r="F133" s="149">
        <f>F130</f>
        <v>25500</v>
      </c>
      <c r="G133" s="149"/>
      <c r="H133" s="168">
        <f>SUM(I133:AB133)</f>
        <v>0</v>
      </c>
      <c r="I133" s="610">
        <f>-PV(InterestRate,I$8,,(SUM(AC133:AF133)))</f>
        <v>0</v>
      </c>
      <c r="J133" s="610">
        <f>-PV(InterestRate,J$8,,(SUM(AG133:AJ133)))</f>
        <v>0</v>
      </c>
      <c r="K133" s="610">
        <f>-PV(InterestRate,K$8,,(SUM(AK133:AN133)))</f>
        <v>0</v>
      </c>
      <c r="L133" s="610">
        <f>-PV(InterestRate,L$8,,(SUM(AO133:AR133)))</f>
        <v>0</v>
      </c>
      <c r="M133" s="610">
        <f>-PV(InterestRate,M$8,,(SUM(AS133:AV133)))</f>
        <v>0</v>
      </c>
      <c r="N133" s="610">
        <f>-PV(InterestRate,N$8,,(SUM(AW133:AZ133)))</f>
        <v>0</v>
      </c>
      <c r="O133" s="610">
        <f>-PV(InterestRate,O$8,,(SUM(BA133:BD133)))</f>
        <v>0</v>
      </c>
      <c r="P133" s="610">
        <f>-PV(InterestRate,P$8,,(SUM(BE133:BH133)))</f>
        <v>0</v>
      </c>
      <c r="Q133" s="610">
        <f>-PV(InterestRate,Q$8,,(SUM(BI133:BL133)))</f>
        <v>0</v>
      </c>
      <c r="R133" s="610">
        <f>-PV(InterestRate,R$8,,(SUM(BM133:BP133)))</f>
        <v>0</v>
      </c>
      <c r="S133" s="610">
        <f>-PV(InterestRate,S$8,,(SUM(BQ133:BT133)))</f>
        <v>0</v>
      </c>
      <c r="T133" s="610">
        <f>-PV(InterestRate,T$8,,(SUM(BU133:BX133)))</f>
        <v>0</v>
      </c>
      <c r="U133" s="610">
        <f>-PV(InterestRate,U$8,,(SUM(BY133:CB133)))</f>
        <v>0</v>
      </c>
      <c r="V133" s="610">
        <f>-PV(InterestRate,V$8,,(SUM(CC133:CF133)))</f>
        <v>0</v>
      </c>
      <c r="W133" s="610">
        <f>-PV(InterestRate,W$8,,(SUM(CG133:CJ133)))</f>
        <v>0</v>
      </c>
      <c r="X133" s="610">
        <f>-PV(InterestRate,X$8,,(SUM(CK133:CN133)))</f>
        <v>0</v>
      </c>
      <c r="Y133" s="610">
        <f>-PV(InterestRate,Y$8,,(SUM(CO133:CR133)))</f>
        <v>0</v>
      </c>
      <c r="Z133" s="610">
        <f>-PV(InterestRate,Z$8,,(SUM(CS133:CV133)))</f>
        <v>0</v>
      </c>
      <c r="AA133" s="610">
        <f>-PV(InterestRate,AA$8,,(SUM(CW133:CZ133)))</f>
        <v>0</v>
      </c>
      <c r="AB133" s="611">
        <f>-PV(InterestRate,AB$8,,(SUM(DA133:DD133)))</f>
        <v>0</v>
      </c>
      <c r="AC133" s="160">
        <f>IF($C133&gt;0,(IF($C133=$AC$7,$D133,0)),0)</f>
        <v>0</v>
      </c>
      <c r="AD133" s="150">
        <f>IF($C133&gt;0,(IF($AC$7&gt;=$C133+1,$E133,0)),0)</f>
        <v>0</v>
      </c>
      <c r="AE133" s="150">
        <f>IF($C133&gt;0,(IF($C133=$AC$7,$F133,0)),0)</f>
        <v>0</v>
      </c>
      <c r="AF133" s="165">
        <f>IF($C133&gt;0,(IF($AC$7&gt;=$C133+1,$G133,0)),0)</f>
        <v>0</v>
      </c>
      <c r="AG133" s="168">
        <f>IF($C133&gt;0,(IF($C133=$AG$7,(-FV(InflationRate,$AG$7,,$D133)),0)),0)</f>
        <v>0</v>
      </c>
      <c r="AH133" s="149">
        <f>IF($C133&gt;0,(IF($AG$7&gt;=$C133+1, (-FV(InflationRate,$AG$7,,$E133)), 0)),0)</f>
        <v>0</v>
      </c>
      <c r="AI133" s="149">
        <f>IF($C133&gt;0,(IF($AG$7&gt;=$C133+1, (-FV(InflationRate,$AG$7,,$F133)), 0)),0)</f>
        <v>0</v>
      </c>
      <c r="AJ133" s="171">
        <f>IF($C133&gt;0,(IF($AG$7&gt;=$C133+1, (-FV(InflationRate,$AG$7,,$G133)), 0)),0)</f>
        <v>0</v>
      </c>
      <c r="AK133" s="160">
        <f>IF($C133&gt;0,(IF($C133=$AK$7,(-FV(InflationRate,$AK$7,,$D133)),0)),0)</f>
        <v>0</v>
      </c>
      <c r="AL133" s="150">
        <f>IF($C133&gt;0,(IF($AK$7&gt;=$C133+1, (-FV(InflationRate,$AK$7,,$E133)), 0)),0)</f>
        <v>0</v>
      </c>
      <c r="AM133" s="150">
        <f>IF($C133&gt;0,(IF($AK$7&gt;=$C133+1, (-FV(InflationRate,$AK$7,,$F133)), 0)),0)</f>
        <v>0</v>
      </c>
      <c r="AN133" s="165">
        <f>IF($C133&gt;0,(IF($AK$7&gt;=$C133+1, (-FV(InflationRate,$AK$7,,$G133)), 0)),0)</f>
        <v>0</v>
      </c>
      <c r="AO133" s="168">
        <f>IF($C133&gt;0,(IF($C133=$AO$7,(-FV(InflationRate,$AO$7,,$D133)),0)),0)</f>
        <v>0</v>
      </c>
      <c r="AP133" s="149">
        <f>IF($C133&gt;0,(IF($AO$7&gt;=$C133+1, (-FV(InflationRate,$AO$7,,$E133)), 0)),0)</f>
        <v>0</v>
      </c>
      <c r="AQ133" s="149">
        <f>IF($C133&gt;0,(IF($AO$7&gt;=$C133+1, (-FV(InflationRate,$AO$7,,$F133)), 0)),0)</f>
        <v>0</v>
      </c>
      <c r="AR133" s="157">
        <f>IF($C133&gt;0,(IF($AO$7&gt;=$C133+1, (-FV(InflationRate,$AO$7,,$G133)), 0)),0)</f>
        <v>0</v>
      </c>
      <c r="AS133" s="160"/>
      <c r="AT133" s="150"/>
      <c r="AU133" s="150"/>
      <c r="AV133" s="165"/>
      <c r="AW133" s="168"/>
      <c r="AX133" s="149"/>
      <c r="AY133" s="149"/>
      <c r="AZ133" s="157"/>
      <c r="BA133" s="160"/>
      <c r="BB133" s="150"/>
      <c r="BC133" s="150"/>
      <c r="BD133" s="176"/>
      <c r="BE133" s="168"/>
      <c r="BF133" s="149"/>
      <c r="BG133" s="149"/>
      <c r="BH133" s="171"/>
      <c r="BI133" s="160"/>
      <c r="BJ133" s="150"/>
      <c r="BK133" s="150"/>
      <c r="BL133" s="176"/>
      <c r="BM133" s="168"/>
      <c r="BN133" s="149"/>
      <c r="BO133" s="149"/>
      <c r="BP133" s="157"/>
      <c r="BQ133" s="160"/>
      <c r="BR133" s="150"/>
      <c r="BS133" s="150"/>
      <c r="BT133" s="176"/>
      <c r="BU133" s="168"/>
      <c r="BV133" s="149"/>
      <c r="BW133" s="149"/>
      <c r="BX133" s="157"/>
      <c r="BY133" s="160"/>
      <c r="BZ133" s="150"/>
      <c r="CA133" s="150"/>
      <c r="CB133" s="176"/>
      <c r="CC133" s="168"/>
      <c r="CD133" s="149"/>
      <c r="CE133" s="149"/>
      <c r="CF133" s="157"/>
      <c r="CG133" s="160"/>
      <c r="CH133" s="150"/>
      <c r="CI133" s="150"/>
      <c r="CJ133" s="176"/>
      <c r="CK133" s="168"/>
      <c r="CL133" s="149"/>
      <c r="CM133" s="149"/>
      <c r="CN133" s="157"/>
      <c r="CO133" s="160"/>
      <c r="CP133" s="150"/>
      <c r="CQ133" s="150"/>
      <c r="CR133" s="176"/>
      <c r="CS133" s="168"/>
      <c r="CT133" s="149"/>
      <c r="CU133" s="149"/>
      <c r="CV133" s="157"/>
      <c r="CW133" s="160"/>
      <c r="CX133" s="150"/>
      <c r="CY133" s="150"/>
      <c r="CZ133" s="176"/>
      <c r="DA133" s="168"/>
      <c r="DB133" s="149"/>
      <c r="DC133" s="149"/>
      <c r="DD133" s="157"/>
    </row>
    <row r="134" spans="2:108" x14ac:dyDescent="0.2">
      <c r="B134" s="183"/>
      <c r="C134" s="189"/>
      <c r="D134" s="168"/>
      <c r="E134" s="149"/>
      <c r="F134" s="149"/>
      <c r="G134" s="149"/>
      <c r="H134" s="168"/>
      <c r="I134" s="600"/>
      <c r="J134" s="600"/>
      <c r="K134" s="600"/>
      <c r="L134" s="600"/>
      <c r="M134" s="600"/>
      <c r="N134" s="600"/>
      <c r="O134" s="600"/>
      <c r="P134" s="600"/>
      <c r="Q134" s="600"/>
      <c r="R134" s="600"/>
      <c r="S134" s="600"/>
      <c r="T134" s="600"/>
      <c r="U134" s="600"/>
      <c r="V134" s="600"/>
      <c r="W134" s="600"/>
      <c r="X134" s="600"/>
      <c r="Y134" s="600"/>
      <c r="Z134" s="600"/>
      <c r="AA134" s="600"/>
      <c r="AB134" s="601"/>
      <c r="AC134" s="160"/>
      <c r="AD134" s="150"/>
      <c r="AE134" s="150"/>
      <c r="AF134" s="165"/>
      <c r="AG134" s="168"/>
      <c r="AH134" s="149"/>
      <c r="AI134" s="149"/>
      <c r="AJ134" s="171"/>
      <c r="AK134" s="160"/>
      <c r="AL134" s="150"/>
      <c r="AM134" s="150"/>
      <c r="AN134" s="165"/>
      <c r="AO134" s="168"/>
      <c r="AP134" s="149"/>
      <c r="AQ134" s="149"/>
      <c r="AR134" s="157"/>
      <c r="AS134" s="160"/>
      <c r="AT134" s="150"/>
      <c r="AU134" s="150"/>
      <c r="AV134" s="165"/>
      <c r="AW134" s="168"/>
      <c r="AX134" s="149"/>
      <c r="AY134" s="149"/>
      <c r="AZ134" s="157"/>
      <c r="BA134" s="160"/>
      <c r="BB134" s="150"/>
      <c r="BC134" s="150"/>
      <c r="BD134" s="176"/>
      <c r="BE134" s="168"/>
      <c r="BF134" s="149"/>
      <c r="BG134" s="149"/>
      <c r="BH134" s="171"/>
      <c r="BI134" s="160"/>
      <c r="BJ134" s="150"/>
      <c r="BK134" s="150"/>
      <c r="BL134" s="176"/>
      <c r="BM134" s="168"/>
      <c r="BN134" s="149"/>
      <c r="BO134" s="149"/>
      <c r="BP134" s="157"/>
      <c r="BQ134" s="160"/>
      <c r="BR134" s="150"/>
      <c r="BS134" s="150"/>
      <c r="BT134" s="176"/>
      <c r="BU134" s="168"/>
      <c r="BV134" s="149"/>
      <c r="BW134" s="149"/>
      <c r="BX134" s="157"/>
      <c r="BY134" s="160"/>
      <c r="BZ134" s="150"/>
      <c r="CA134" s="150"/>
      <c r="CB134" s="176"/>
      <c r="CC134" s="168"/>
      <c r="CD134" s="149"/>
      <c r="CE134" s="149"/>
      <c r="CF134" s="157"/>
      <c r="CG134" s="160"/>
      <c r="CH134" s="150"/>
      <c r="CI134" s="150"/>
      <c r="CJ134" s="176"/>
      <c r="CK134" s="168"/>
      <c r="CL134" s="149"/>
      <c r="CM134" s="149"/>
      <c r="CN134" s="157"/>
      <c r="CO134" s="160"/>
      <c r="CP134" s="150"/>
      <c r="CQ134" s="150"/>
      <c r="CR134" s="176"/>
      <c r="CS134" s="168"/>
      <c r="CT134" s="149"/>
      <c r="CU134" s="149"/>
      <c r="CV134" s="157"/>
      <c r="CW134" s="160"/>
      <c r="CX134" s="150"/>
      <c r="CY134" s="150"/>
      <c r="CZ134" s="176"/>
      <c r="DA134" s="168"/>
      <c r="DB134" s="149"/>
      <c r="DC134" s="149"/>
      <c r="DD134" s="157"/>
    </row>
    <row r="135" spans="2:108" ht="24" x14ac:dyDescent="0.2">
      <c r="B135" s="182" t="str">
        <f>'FCW - S1'!B5</f>
        <v>Floating Constructed Wetlands - Site 1 - Cost Efficacy to Be Validated</v>
      </c>
      <c r="C135" s="189"/>
      <c r="D135" s="194">
        <f>'FCW - S1'!F34</f>
        <v>15053200</v>
      </c>
      <c r="E135" s="195">
        <f>'FCW - S1'!F63</f>
        <v>68000</v>
      </c>
      <c r="F135" s="195">
        <f>'FCW - S1'!F94</f>
        <v>133100</v>
      </c>
      <c r="G135" s="195">
        <f>'FCW - S1'!F123</f>
        <v>367500</v>
      </c>
      <c r="H135" s="168"/>
      <c r="I135" s="600"/>
      <c r="J135" s="600"/>
      <c r="K135" s="600"/>
      <c r="L135" s="600"/>
      <c r="M135" s="600"/>
      <c r="N135" s="600"/>
      <c r="O135" s="600"/>
      <c r="P135" s="600"/>
      <c r="Q135" s="600"/>
      <c r="R135" s="600"/>
      <c r="S135" s="600"/>
      <c r="T135" s="600"/>
      <c r="U135" s="600"/>
      <c r="V135" s="600"/>
      <c r="W135" s="600"/>
      <c r="X135" s="600"/>
      <c r="Y135" s="600"/>
      <c r="Z135" s="600"/>
      <c r="AA135" s="600"/>
      <c r="AB135" s="601"/>
      <c r="AC135" s="160"/>
      <c r="AD135" s="150"/>
      <c r="AE135" s="150"/>
      <c r="AF135" s="165"/>
      <c r="AG135" s="168"/>
      <c r="AH135" s="149"/>
      <c r="AI135" s="149"/>
      <c r="AJ135" s="171"/>
      <c r="AK135" s="160"/>
      <c r="AL135" s="150"/>
      <c r="AM135" s="150"/>
      <c r="AN135" s="165"/>
      <c r="AO135" s="168"/>
      <c r="AP135" s="149"/>
      <c r="AQ135" s="149"/>
      <c r="AR135" s="157"/>
      <c r="AS135" s="160"/>
      <c r="AT135" s="150"/>
      <c r="AU135" s="150"/>
      <c r="AV135" s="165"/>
      <c r="AW135" s="168"/>
      <c r="AX135" s="149"/>
      <c r="AY135" s="149"/>
      <c r="AZ135" s="157"/>
      <c r="BA135" s="160"/>
      <c r="BB135" s="150"/>
      <c r="BC135" s="150"/>
      <c r="BD135" s="176"/>
      <c r="BE135" s="168"/>
      <c r="BF135" s="149"/>
      <c r="BG135" s="149"/>
      <c r="BH135" s="171"/>
      <c r="BI135" s="160"/>
      <c r="BJ135" s="150"/>
      <c r="BK135" s="150"/>
      <c r="BL135" s="176"/>
      <c r="BM135" s="168"/>
      <c r="BN135" s="149"/>
      <c r="BO135" s="149"/>
      <c r="BP135" s="157"/>
      <c r="BQ135" s="160"/>
      <c r="BR135" s="150"/>
      <c r="BS135" s="150"/>
      <c r="BT135" s="176"/>
      <c r="BU135" s="168"/>
      <c r="BV135" s="149"/>
      <c r="BW135" s="149"/>
      <c r="BX135" s="157"/>
      <c r="BY135" s="160"/>
      <c r="BZ135" s="150"/>
      <c r="CA135" s="150"/>
      <c r="CB135" s="176"/>
      <c r="CC135" s="168"/>
      <c r="CD135" s="149"/>
      <c r="CE135" s="149"/>
      <c r="CF135" s="157"/>
      <c r="CG135" s="160"/>
      <c r="CH135" s="150"/>
      <c r="CI135" s="150"/>
      <c r="CJ135" s="176"/>
      <c r="CK135" s="168"/>
      <c r="CL135" s="149"/>
      <c r="CM135" s="149"/>
      <c r="CN135" s="157"/>
      <c r="CO135" s="160"/>
      <c r="CP135" s="150"/>
      <c r="CQ135" s="150"/>
      <c r="CR135" s="176"/>
      <c r="CS135" s="168"/>
      <c r="CT135" s="149"/>
      <c r="CU135" s="149"/>
      <c r="CV135" s="157"/>
      <c r="CW135" s="160"/>
      <c r="CX135" s="150"/>
      <c r="CY135" s="150"/>
      <c r="CZ135" s="176"/>
      <c r="DA135" s="168"/>
      <c r="DB135" s="149"/>
      <c r="DC135" s="149"/>
      <c r="DD135" s="157"/>
    </row>
    <row r="136" spans="2:108" x14ac:dyDescent="0.2">
      <c r="B136" s="183" t="s">
        <v>220</v>
      </c>
      <c r="C136" s="556">
        <v>6</v>
      </c>
      <c r="D136" s="168">
        <f>'FCW - S1'!F31+'FCW - S1'!F32</f>
        <v>1672600</v>
      </c>
      <c r="E136" s="149"/>
      <c r="F136" s="149"/>
      <c r="G136" s="149"/>
      <c r="H136" s="168">
        <f>SUM(I136:AB136)</f>
        <v>1826497.9418988619</v>
      </c>
      <c r="I136" s="610">
        <f>-PV(InterestRate,I$8,,(SUM(AC136:AF136)))</f>
        <v>0</v>
      </c>
      <c r="J136" s="610">
        <f>-PV(InterestRate,J$8,,(SUM(AG136:AJ136)))</f>
        <v>0</v>
      </c>
      <c r="K136" s="610">
        <f>-PV(InterestRate,K$8,,(SUM(AK136:AN136)))</f>
        <v>0</v>
      </c>
      <c r="L136" s="610">
        <f>-PV(InterestRate,L$8,,(SUM(AO136:AR136)))</f>
        <v>0</v>
      </c>
      <c r="M136" s="610">
        <f>-PV(InterestRate,M$8,,(SUM(AS136:AV136)))</f>
        <v>0</v>
      </c>
      <c r="N136" s="610">
        <f>-PV(InterestRate,N$8,,(SUM(AW136:AZ136)))</f>
        <v>1826497.9418988619</v>
      </c>
      <c r="O136" s="610">
        <f>-PV(InterestRate,O$8,,(SUM(BA136:BD136)))</f>
        <v>0</v>
      </c>
      <c r="P136" s="610">
        <f>-PV(InterestRate,P$8,,(SUM(BE136:BH136)))</f>
        <v>0</v>
      </c>
      <c r="Q136" s="610">
        <f>-PV(InterestRate,Q$8,,(SUM(BI136:BL136)))</f>
        <v>0</v>
      </c>
      <c r="R136" s="610">
        <f>-PV(InterestRate,R$8,,(SUM(BM136:BP136)))</f>
        <v>0</v>
      </c>
      <c r="S136" s="610">
        <f>-PV(InterestRate,S$8,,(SUM(BQ136:BT136)))</f>
        <v>0</v>
      </c>
      <c r="T136" s="610">
        <f>-PV(InterestRate,T$8,,(SUM(BU136:BX136)))</f>
        <v>0</v>
      </c>
      <c r="U136" s="610">
        <f>-PV(InterestRate,U$8,,(SUM(BY136:CB136)))</f>
        <v>0</v>
      </c>
      <c r="V136" s="610">
        <f>-PV(InterestRate,V$8,,(SUM(CC136:CF136)))</f>
        <v>0</v>
      </c>
      <c r="W136" s="610">
        <f>-PV(InterestRate,W$8,,(SUM(CG136:CJ136)))</f>
        <v>0</v>
      </c>
      <c r="X136" s="610">
        <f>-PV(InterestRate,X$8,,(SUM(CK136:CN136)))</f>
        <v>0</v>
      </c>
      <c r="Y136" s="610">
        <f>-PV(InterestRate,Y$8,,(SUM(CO136:CR136)))</f>
        <v>0</v>
      </c>
      <c r="Z136" s="610">
        <f>-PV(InterestRate,Z$8,,(SUM(CS136:CV136)))</f>
        <v>0</v>
      </c>
      <c r="AA136" s="610">
        <f>-PV(InterestRate,AA$8,,(SUM(CW136:CZ136)))</f>
        <v>0</v>
      </c>
      <c r="AB136" s="611">
        <f>-PV(InterestRate,AB$8,,(SUM(DA136:DD136)))</f>
        <v>0</v>
      </c>
      <c r="AC136" s="160"/>
      <c r="AD136" s="150"/>
      <c r="AE136" s="150"/>
      <c r="AF136" s="165"/>
      <c r="AG136" s="168"/>
      <c r="AH136" s="149"/>
      <c r="AI136" s="149"/>
      <c r="AJ136" s="171"/>
      <c r="AK136" s="160"/>
      <c r="AL136" s="150"/>
      <c r="AM136" s="150"/>
      <c r="AN136" s="165"/>
      <c r="AO136" s="168">
        <f>IF($C136&gt;0,(IF($C136=$AO$7,(-FV(InflationRate,$AO$7,,$D136)),0)),0)</f>
        <v>0</v>
      </c>
      <c r="AP136" s="149">
        <f>IF($C136&gt;0,(IF($AO$7&gt;=$C136+1, (-FV(InflationRate,$AO$7,,$E136)), 0)),0)</f>
        <v>0</v>
      </c>
      <c r="AQ136" s="149">
        <f>IF($C136&gt;0,(IF($AO$7&gt;=$C136+1, (-FV(InflationRate,$AO$7,,$F136)), 0)),0)</f>
        <v>0</v>
      </c>
      <c r="AR136" s="157">
        <f>IF($C136&gt;0,(IF($AO$7&gt;=$C136+1, (-FV(InflationRate,$AO$7,,$G136)), 0)),0)</f>
        <v>0</v>
      </c>
      <c r="AS136" s="160">
        <f>IF($C136&gt;0,(IF($C136=$AS$7,(-FV(InflationRate,$AS$7,,$D136)),0)),0)</f>
        <v>0</v>
      </c>
      <c r="AT136" s="150">
        <f>IF($C136&gt;0,(IF($AS$7&gt;=$C136+1, (-FV(InflationRate,$AS$7,,$E136)), 0)),0)</f>
        <v>0</v>
      </c>
      <c r="AU136" s="150">
        <f>IF($C136&gt;0,(IF($AS$7&gt;=$C136+1, (-FV(InflationRate,$AS$7,,$F136)), 0)),0)</f>
        <v>0</v>
      </c>
      <c r="AV136" s="165">
        <f>IF($C136&gt;0,(IF($AS$7&gt;=$C136+1, (-FV(InflationRate,$AS$7,,$G136)), 0)),0)</f>
        <v>0</v>
      </c>
      <c r="AW136" s="168">
        <f>IF($C136&gt;0,(IF($C136=$AW$7,(-FV(InflationRate,$AW$7,,$D136)),0)),0)</f>
        <v>1997171.8711744053</v>
      </c>
      <c r="AX136" s="149">
        <f>IF($C136&gt;0,(IF($AW$7&gt;=$C136+1, (-FV(InflationRate,$AW$7,,$E136)), 0)),0)</f>
        <v>0</v>
      </c>
      <c r="AY136" s="149">
        <f>IF($C136&gt;0,(IF($AW$7&gt;=$C136+1, (-FV(InflationRate,$AW$7,,$F136)), 0)),0)</f>
        <v>0</v>
      </c>
      <c r="AZ136" s="157">
        <f>IF($C136&gt;0,(IF($AW$7&gt;=$C136+1, (-FV(InflationRate,$AW$7,,$G136)), 0)),0)</f>
        <v>0</v>
      </c>
      <c r="BA136" s="160">
        <f>IF($C136&gt;0,(IF($C136=$BA$7,(-FV(InflationRate,$BA$7,,$D136)),0)),0)</f>
        <v>0</v>
      </c>
      <c r="BB136" s="150">
        <f>IF($C136&gt;0,(IF($BA$7&gt;=$C136+1, (-FV(InflationRate,$BA$7,,$E136)), 0)),0)</f>
        <v>0</v>
      </c>
      <c r="BC136" s="150">
        <f>IF($C136&gt;0,(IF($BA$7&gt;=$C136+1, (-FV(InflationRate,$BA$7,,$F136)), 0)),0)</f>
        <v>0</v>
      </c>
      <c r="BD136" s="176">
        <f>IF($C136&gt;0,(IF($BA$7&gt;=$C136+1, (-FV(InflationRate,$BA$7,,$G136)), 0)),0)</f>
        <v>0</v>
      </c>
      <c r="BE136" s="168">
        <f>IF($C136&gt;0,(IF($C136=$BE$7,(-FV(InflationRate,$BE$7,,$D136)),0)),0)</f>
        <v>0</v>
      </c>
      <c r="BF136" s="149">
        <f>IF($C136&gt;0,(IF($BE$7&gt;=$C136+1, (-FV(InflationRate,$BE$7,,$E136)), 0)),0)</f>
        <v>0</v>
      </c>
      <c r="BG136" s="149">
        <f>IF($C136&gt;0,(IF($BE$7&gt;=$C136+1, (-FV(InflationRate,$BE$7,,$F136)), 0)),0)</f>
        <v>0</v>
      </c>
      <c r="BH136" s="171">
        <f>IF($C136&gt;0,(IF($BE$7&gt;=$C136+1, (-FV(InflationRate,$BE$7,,$G136)), 0)),0)</f>
        <v>0</v>
      </c>
      <c r="BI136" s="160">
        <f>IF($C136&gt;0,(IF($C136=$BI$7,(-FV(InflationRate,$BI$7,,$D136)),0)),0)</f>
        <v>0</v>
      </c>
      <c r="BJ136" s="150">
        <f>IF($C136&gt;0,(IF($BI$7&gt;=$C136+1, (-FV(InflationRate,$BI$7,,$E136)), 0)),0)</f>
        <v>0</v>
      </c>
      <c r="BK136" s="150">
        <f>IF($C136&gt;0,(IF($BI$7&gt;=$C136+1, (-FV(InflationRate,$BI$7,,$F136)), 0)),0)</f>
        <v>0</v>
      </c>
      <c r="BL136" s="176">
        <f>IF($C136&gt;0,(IF($BI$7&gt;=$C136+1, (-FV(InflationRate,$BI$7,,$G136)), 0)),0)</f>
        <v>0</v>
      </c>
      <c r="BM136" s="168">
        <f>IF($C136&gt;0,(IF($C136=$BM$7,(-FV(InflationRate,$BM$7,,$D136)),0)),0)</f>
        <v>0</v>
      </c>
      <c r="BN136" s="149">
        <f>IF($C136&gt;0,(IF($BM$7&gt;=$C136+1, (-FV(InflationRate,$BM$7,,$E136)), 0)),0)</f>
        <v>0</v>
      </c>
      <c r="BO136" s="149">
        <f>IF($C136&gt;0,(IF($BM$7&gt;=$C136+1, (-FV(InflationRate,$BM$7,,$F136)), 0)),0)</f>
        <v>0</v>
      </c>
      <c r="BP136" s="157">
        <f>IF($C136&gt;0,(IF($BM$7&gt;=$C136+1, (-FV(InflationRate,$BM$7,,$G136)), 0)),0)</f>
        <v>0</v>
      </c>
      <c r="BQ136" s="160">
        <f>IF($C136&gt;0,(IF($C136=$BQ$7,(-FV(InflationRate,$BQ$7,,$D136)),0)),0)</f>
        <v>0</v>
      </c>
      <c r="BR136" s="150">
        <f>IF($C136&gt;0,(IF($BQ$7&gt;=$C136+1, (-FV(InflationRate,$BQ$7,,$E136)), 0)),0)</f>
        <v>0</v>
      </c>
      <c r="BS136" s="150">
        <f>IF($C136&gt;0,(IF($BQ$7&gt;=$C136+1, (-FV(InflationRate,$BQ$7,,$F136)), 0)),0)</f>
        <v>0</v>
      </c>
      <c r="BT136" s="176">
        <f>IF($C136&gt;0,(IF($BQ$7&gt;=$C136+1, (-FV(InflationRate,$BQ$7,,$G136)), 0)),0)</f>
        <v>0</v>
      </c>
      <c r="BU136" s="168">
        <f>IF($C136&gt;0,(IF($C136=$BU$7,(-FV(InflationRate,$BU$7,,$D136)),0)),0)</f>
        <v>0</v>
      </c>
      <c r="BV136" s="149">
        <f>IF($C136&gt;0,(IF($BU$7&gt;=$C136+1, (-FV(InflationRate,$BU$7,,$E136)), 0)),0)</f>
        <v>0</v>
      </c>
      <c r="BW136" s="149">
        <f>IF($C136&gt;0,(IF($BU$7&gt;=$C136+1, (-FV(InflationRate,$BU$7,,$F136)), 0)),0)</f>
        <v>0</v>
      </c>
      <c r="BX136" s="157">
        <f>IF($C136&gt;0,(IF($BU$7&gt;=$C136+1, (-FV(InflationRate,$BU$7,,$G136)), 0)),0)</f>
        <v>0</v>
      </c>
      <c r="BY136" s="160">
        <f>IF($C136&gt;0,(IF($C136=$BY$7,(-FV(InflationRate,$BY$7,,$D136)),0)),0)</f>
        <v>0</v>
      </c>
      <c r="BZ136" s="150">
        <f>IF($C136&gt;0,(IF($BY$7&gt;=$C136+1, (-FV(InflationRate,$BY$7,,$E136)), 0)),0)</f>
        <v>0</v>
      </c>
      <c r="CA136" s="150">
        <f>IF($C136&gt;0,(IF($BY$7&gt;=$C136+1, (-FV(InflationRate,$BY$7,,$F136)), 0)),0)</f>
        <v>0</v>
      </c>
      <c r="CB136" s="176">
        <f>IF($C136&gt;0,(IF($BY$7&gt;=$C136+1, (-FV(InflationRate,$BY$7,,$G136)), 0)),0)</f>
        <v>0</v>
      </c>
      <c r="CC136" s="168">
        <f>IF($C136&gt;0,(IF($C136=$CC$7,(-FV(InflationRate,$CC$7,,$D136)),0)),0)</f>
        <v>0</v>
      </c>
      <c r="CD136" s="149">
        <f>IF($C136&gt;0,(IF($CC$7&gt;=$C136+1, (-FV(InflationRate,$CC$7,,$E136)), 0)),0)</f>
        <v>0</v>
      </c>
      <c r="CE136" s="149">
        <f>IF($C136&gt;0,(IF($CC$7&gt;=$C136+1, (-FV(InflationRate,$CC$7,,$F136)), 0)),0)</f>
        <v>0</v>
      </c>
      <c r="CF136" s="157">
        <f>IF($C136&gt;0,(IF($CC$7&gt;=$C136+1, (-FV(InflationRate,$CC$7,,$G136)), 0)),0)</f>
        <v>0</v>
      </c>
      <c r="CG136" s="160">
        <f>IF($C136&gt;0,(IF($C136=$CG$7,(-FV(InflationRate,$CG$7,,$D136)),0)),0)</f>
        <v>0</v>
      </c>
      <c r="CH136" s="150">
        <f>IF($C136&gt;0,(IF($CG$7&gt;=$C136+1, (-FV(InflationRate,$CG$7,,$E136)), 0)),0)</f>
        <v>0</v>
      </c>
      <c r="CI136" s="150">
        <f>IF($C136&gt;0,(IF($CG$7&gt;=$C136+1, (-FV(InflationRate,$CG$7,,$F136)), 0)),0)</f>
        <v>0</v>
      </c>
      <c r="CJ136" s="176">
        <f>IF($C136&gt;0,(IF($CG$7&gt;=$C136+1, (-FV(InflationRate,$CG$7,,$G136)), 0)),0)</f>
        <v>0</v>
      </c>
      <c r="CK136" s="168">
        <f>IF($C136&gt;0,(IF($C136=$CK$7,(-FV(InflationRate,$CK$7,,$D136)),0)),0)</f>
        <v>0</v>
      </c>
      <c r="CL136" s="149">
        <f>IF($C136&gt;0,(IF($CK$7&gt;=$C136+1, (-FV(InflationRate,$CK$7,,$E136)), 0)),0)</f>
        <v>0</v>
      </c>
      <c r="CM136" s="149">
        <f>IF($C136&gt;0,(IF($CK$7&gt;=$C136+1, (-FV(InflationRate,$CK$7,,$F136)), 0)),0)</f>
        <v>0</v>
      </c>
      <c r="CN136" s="157">
        <f>IF($C136&gt;0,(IF($CK$7&gt;=$C136+1, (-FV(InflationRate,$CK$7,,$G136)), 0)),0)</f>
        <v>0</v>
      </c>
      <c r="CO136" s="160">
        <f>IF($C136&gt;0,(IF($C136=$CO$7,(-FV(InflationRate,$CO$7,,$D136)),0)),0)</f>
        <v>0</v>
      </c>
      <c r="CP136" s="150">
        <f>IF($C136&gt;0,(IF($CO$7&gt;=$C136+1, (-FV(InflationRate,$CO$7,,$E136)), 0)),0)</f>
        <v>0</v>
      </c>
      <c r="CQ136" s="150">
        <f>IF($C136&gt;0,(IF($CO$7&gt;=$C136+1, (-FV(InflationRate,$CO$7,,$F136)), 0)),0)</f>
        <v>0</v>
      </c>
      <c r="CR136" s="176">
        <f>IF($C136&gt;0,(IF($CO$7&gt;=$C136+1, (-FV(InflationRate,$CO$7,,$G136)), 0)),0)</f>
        <v>0</v>
      </c>
      <c r="CS136" s="168">
        <f>IF($C136&gt;0,(IF($C136=$CS$7,(-FV(InflationRate,$CS$7,,$D136)),0)),0)</f>
        <v>0</v>
      </c>
      <c r="CT136" s="149">
        <f>IF($C136&gt;0,(IF($CS$7&gt;=$C136+1, (-FV(InflationRate,$CS$7,,$E136)), 0)),0)</f>
        <v>0</v>
      </c>
      <c r="CU136" s="149">
        <f>IF($C136&gt;0,(IF($CS$7&gt;=$C136+1, (-FV(InflationRate,$CS$7,,$F136)), 0)),0)</f>
        <v>0</v>
      </c>
      <c r="CV136" s="157">
        <f>IF($C136&gt;0,(IF($CS$7&gt;=$C136+1, (-FV(InflationRate,$CS$7,,$G136)), 0)),0)</f>
        <v>0</v>
      </c>
      <c r="CW136" s="160">
        <f>IF($C136&gt;0,(IF($C136=$CW$7,(-FV(InflationRate,$CW$7,,$D136)),0)),0)</f>
        <v>0</v>
      </c>
      <c r="CX136" s="150">
        <f>IF($C136&gt;0,(IF($CW$7&gt;=$C136+1, (-FV(InflationRate,$CW$7,,$E136)), 0)),0)</f>
        <v>0</v>
      </c>
      <c r="CY136" s="150">
        <f>IF($C136&gt;0,(IF($CW$7&gt;=$C136+1, (-FV(InflationRate,$CW$7,,$F136)), 0)),0)</f>
        <v>0</v>
      </c>
      <c r="CZ136" s="176">
        <f>IF($C136&gt;0,(IF($CW$7&gt;=$C136+1, (-FV(InflationRate,$CW$7,,$G136)), 0)),0)</f>
        <v>0</v>
      </c>
      <c r="DA136" s="168">
        <f>IF($C136&gt;0,(IF($C136=$DA$7,(-FV(InflationRate,$DA$7,,$D136)),0)),0)</f>
        <v>0</v>
      </c>
      <c r="DB136" s="149">
        <f>IF($C136&gt;0,(IF($DA$7&gt;=$C136+1, (-FV(InflationRate,$DA$7,,$E136)), 0)),0)</f>
        <v>0</v>
      </c>
      <c r="DC136" s="149">
        <f>IF($C136&gt;0,(IF($DA$7&gt;=$C136+1, (-FV(InflationRate,$DA$7,,$F136)), 0)),0)</f>
        <v>0</v>
      </c>
      <c r="DD136" s="157">
        <f>IF($C136&gt;0,(IF($DA$7&gt;=$C136+1, (-FV(InflationRate,$DA$7,,$G136)), 0)),0)</f>
        <v>0</v>
      </c>
    </row>
    <row r="137" spans="2:108" x14ac:dyDescent="0.2">
      <c r="B137" s="183" t="s">
        <v>270</v>
      </c>
      <c r="C137" s="556">
        <v>7</v>
      </c>
      <c r="D137" s="168">
        <f>D135-D136</f>
        <v>13380600</v>
      </c>
      <c r="E137" s="149">
        <f>E135</f>
        <v>68000</v>
      </c>
      <c r="F137" s="149"/>
      <c r="G137" s="149">
        <f>G135</f>
        <v>367500</v>
      </c>
      <c r="H137" s="168">
        <f>SUM(I137:AB137)</f>
        <v>21790473.870159239</v>
      </c>
      <c r="I137" s="610">
        <f>-PV(InterestRate,I$8,,(SUM(AC137:AF137)))</f>
        <v>0</v>
      </c>
      <c r="J137" s="610">
        <f>-PV(InterestRate,J$8,,(SUM(AG137:AJ137)))</f>
        <v>0</v>
      </c>
      <c r="K137" s="610">
        <f>-PV(InterestRate,K$8,,(SUM(AK137:AN137)))</f>
        <v>0</v>
      </c>
      <c r="L137" s="610">
        <f>-PV(InterestRate,L$8,,(SUM(AO137:AR137)))</f>
        <v>0</v>
      </c>
      <c r="M137" s="610">
        <f>-PV(InterestRate,M$8,,(SUM(AS137:AV137)))</f>
        <v>0</v>
      </c>
      <c r="N137" s="610">
        <f>-PV(InterestRate,N$8,,(SUM(AW137:AZ137)))</f>
        <v>0</v>
      </c>
      <c r="O137" s="610">
        <f>-PV(InterestRate,O$8,,(SUM(BA137:BD137)))</f>
        <v>14827702.548707727</v>
      </c>
      <c r="P137" s="610">
        <f>-PV(InterestRate,P$8,,(SUM(BE137:BH137)))</f>
        <v>489731.02620381303</v>
      </c>
      <c r="Q137" s="610">
        <f>-PV(InterestRate,Q$8,,(SUM(BI137:BL137)))</f>
        <v>496968.43053194822</v>
      </c>
      <c r="R137" s="610">
        <f>-PV(InterestRate,R$8,,(SUM(BM137:BP137)))</f>
        <v>504312.79157429229</v>
      </c>
      <c r="S137" s="610">
        <f>-PV(InterestRate,S$8,,(SUM(BQ137:BT137)))</f>
        <v>511765.68997194205</v>
      </c>
      <c r="T137" s="610">
        <f>-PV(InterestRate,T$8,,(SUM(BU137:BX137)))</f>
        <v>519328.72972522205</v>
      </c>
      <c r="U137" s="610">
        <f>-PV(InterestRate,U$8,,(SUM(BY137:CB137)))</f>
        <v>527003.53853889531</v>
      </c>
      <c r="V137" s="610">
        <f>-PV(InterestRate,V$8,,(SUM(CC137:CF137)))</f>
        <v>534791.76817247516</v>
      </c>
      <c r="W137" s="610">
        <f>-PV(InterestRate,W$8,,(SUM(CG137:CJ137)))</f>
        <v>542695.0947957139</v>
      </c>
      <c r="X137" s="610">
        <f>-PV(InterestRate,X$8,,(SUM(CK137:CN137)))</f>
        <v>550715.21934934508</v>
      </c>
      <c r="Y137" s="610">
        <f>-PV(InterestRate,Y$8,,(SUM(CO137:CR137)))</f>
        <v>558853.86791115813</v>
      </c>
      <c r="Z137" s="610">
        <f>-PV(InterestRate,Z$8,,(SUM(CS137:CV137)))</f>
        <v>567112.79206748074</v>
      </c>
      <c r="AA137" s="610">
        <f>-PV(InterestRate,AA$8,,(SUM(CW137:CZ137)))</f>
        <v>575493.76929015294</v>
      </c>
      <c r="AB137" s="611">
        <f>-PV(InterestRate,AB$8,,(SUM(DA137:DD137)))</f>
        <v>583998.60331907158</v>
      </c>
      <c r="AC137" s="160"/>
      <c r="AD137" s="150"/>
      <c r="AE137" s="150"/>
      <c r="AF137" s="165"/>
      <c r="AG137" s="168"/>
      <c r="AH137" s="149"/>
      <c r="AI137" s="149"/>
      <c r="AJ137" s="171"/>
      <c r="AK137" s="160"/>
      <c r="AL137" s="150"/>
      <c r="AM137" s="150"/>
      <c r="AN137" s="165"/>
      <c r="AO137" s="168">
        <f>IF($C137&gt;0,(IF($C137=$AO$7,(-FV(InflationRate,$AO$7,,$D137)),0)),0)</f>
        <v>0</v>
      </c>
      <c r="AP137" s="149">
        <f>IF($C137&gt;0,(IF($AO$7&gt;=$C137+1, (-FV(InflationRate,$AO$7,,$E137)), 0)),0)</f>
        <v>0</v>
      </c>
      <c r="AQ137" s="149">
        <f>IF($C137&gt;0,(IF($AO$7&gt;=$C137+1, (-FV(InflationRate,$AO$7,,$F137)), 0)),0)</f>
        <v>0</v>
      </c>
      <c r="AR137" s="157">
        <f>IF($C137&gt;0,(IF($AO$7&gt;=$C137+1, (-FV(InflationRate,$AO$7,,$G137)), 0)),0)</f>
        <v>0</v>
      </c>
      <c r="AS137" s="160">
        <f>IF($C137&gt;0,(IF($C137=$AS$7,(-FV(InflationRate,$AS$7,,$D137)),0)),0)</f>
        <v>0</v>
      </c>
      <c r="AT137" s="150">
        <f>IF($C137&gt;0,(IF($AS$7&gt;=$C137+1, (-FV(InflationRate,$AS$7,,$E137)), 0)),0)</f>
        <v>0</v>
      </c>
      <c r="AU137" s="150">
        <f>IF($C137&gt;0,(IF($AS$7&gt;=$C137+1, (-FV(InflationRate,$AS$7,,$F137)), 0)),0)</f>
        <v>0</v>
      </c>
      <c r="AV137" s="165">
        <f>IF($C137&gt;0,(IF($AS$7&gt;=$C137+1, (-FV(InflationRate,$AS$7,,$G137)), 0)),0)</f>
        <v>0</v>
      </c>
      <c r="AW137" s="168">
        <f>IF($C137&gt;0,(IF($C137=$AW$7,(-FV(InflationRate,$AW$7,,$D137)),0)),0)</f>
        <v>0</v>
      </c>
      <c r="AX137" s="149">
        <f>IF($C137&gt;0,(IF($AW$7&gt;=$C137+1, (-FV(InflationRate,$AW$7,,$E137)), 0)),0)</f>
        <v>0</v>
      </c>
      <c r="AY137" s="149">
        <f>IF($C137&gt;0,(IF($AW$7&gt;=$C137+1, (-FV(InflationRate,$AW$7,,$F137)), 0)),0)</f>
        <v>0</v>
      </c>
      <c r="AZ137" s="157">
        <f>IF($C137&gt;0,(IF($AW$7&gt;=$C137+1, (-FV(InflationRate,$AW$7,,$G137)), 0)),0)</f>
        <v>0</v>
      </c>
      <c r="BA137" s="160">
        <f>IF($C137&gt;0,(IF($C137=$BA$7,(-FV(InflationRate,$BA$7,,$D137)),0)),0)</f>
        <v>16456450.243704015</v>
      </c>
      <c r="BB137" s="150">
        <f>IF($C137&gt;0,(IF($BA$7&gt;=$C137+1, (-FV(InflationRate,$BA$7,,$E137)), 0)),0)</f>
        <v>0</v>
      </c>
      <c r="BC137" s="150">
        <f>IF($C137&gt;0,(IF($BA$7&gt;=$C137+1, (-FV(InflationRate,$BA$7,,$F137)), 0)),0)</f>
        <v>0</v>
      </c>
      <c r="BD137" s="176">
        <f>IF($C137&gt;0,(IF($BA$7&gt;=$C137+1, (-FV(InflationRate,$BA$7,,$G137)), 0)),0)</f>
        <v>0</v>
      </c>
      <c r="BE137" s="168">
        <f>IF($C137&gt;0,(IF($C137=$BE$7,(-FV(InflationRate,$BE$7,,$D137)),0)),0)</f>
        <v>0</v>
      </c>
      <c r="BF137" s="149">
        <f>IF($C137&gt;0,(IF($BE$7&gt;=$C137+1, (-FV(InflationRate,$BE$7,,$E137)), 0)),0)</f>
        <v>86140.365534357887</v>
      </c>
      <c r="BG137" s="149">
        <f>IF($C137&gt;0,(IF($BE$7&gt;=$C137+1, (-FV(InflationRate,$BE$7,,$F137)), 0)),0)</f>
        <v>0</v>
      </c>
      <c r="BH137" s="171">
        <f>IF($C137&gt;0,(IF($BE$7&gt;=$C137+1, (-FV(InflationRate,$BE$7,,$G137)), 0)),0)</f>
        <v>465538.00490994885</v>
      </c>
      <c r="BI137" s="160">
        <f>IF($C137&gt;0,(IF($C137=$BI$7,(-FV(InflationRate,$BI$7,,$D137)),0)),0)</f>
        <v>0</v>
      </c>
      <c r="BJ137" s="150">
        <f>IF($C137&gt;0,(IF($BI$7&gt;=$C137+1, (-FV(InflationRate,$BI$7,,$E137)), 0)),0)</f>
        <v>88724.576500388619</v>
      </c>
      <c r="BK137" s="150">
        <f>IF($C137&gt;0,(IF($BI$7&gt;=$C137+1, (-FV(InflationRate,$BI$7,,$F137)), 0)),0)</f>
        <v>0</v>
      </c>
      <c r="BL137" s="176">
        <f>IF($C137&gt;0,(IF($BI$7&gt;=$C137+1, (-FV(InflationRate,$BI$7,,$G137)), 0)),0)</f>
        <v>479504.14505724731</v>
      </c>
      <c r="BM137" s="168">
        <f>IF($C137&gt;0,(IF($C137=$BM$7,(-FV(InflationRate,$BM$7,,$D137)),0)),0)</f>
        <v>0</v>
      </c>
      <c r="BN137" s="149">
        <f>IF($C137&gt;0,(IF($BM$7&gt;=$C137+1, (-FV(InflationRate,$BM$7,,$E137)), 0)),0)</f>
        <v>91386.313795400274</v>
      </c>
      <c r="BO137" s="149">
        <f>IF($C137&gt;0,(IF($BM$7&gt;=$C137+1, (-FV(InflationRate,$BM$7,,$F137)), 0)),0)</f>
        <v>0</v>
      </c>
      <c r="BP137" s="157">
        <f>IF($C137&gt;0,(IF($BM$7&gt;=$C137+1, (-FV(InflationRate,$BM$7,,$G137)), 0)),0)</f>
        <v>493889.26940896473</v>
      </c>
      <c r="BQ137" s="160">
        <f>IF($C137&gt;0,(IF($C137=$BQ$7,(-FV(InflationRate,$BQ$7,,$D137)),0)),0)</f>
        <v>0</v>
      </c>
      <c r="BR137" s="150">
        <f>IF($C137&gt;0,(IF($BQ$7&gt;=$C137+1, (-FV(InflationRate,$BQ$7,,$E137)), 0)),0)</f>
        <v>94127.903209262295</v>
      </c>
      <c r="BS137" s="150">
        <f>IF($C137&gt;0,(IF($BQ$7&gt;=$C137+1, (-FV(InflationRate,$BQ$7,,$F137)), 0)),0)</f>
        <v>0</v>
      </c>
      <c r="BT137" s="176">
        <f>IF($C137&gt;0,(IF($BQ$7&gt;=$C137+1, (-FV(InflationRate,$BQ$7,,$G137)), 0)),0)</f>
        <v>508705.9474912337</v>
      </c>
      <c r="BU137" s="168">
        <f>IF($C137&gt;0,(IF($C137=$BU$7,(-FV(InflationRate,$BU$7,,$D137)),0)),0)</f>
        <v>0</v>
      </c>
      <c r="BV137" s="149">
        <f>IF($C137&gt;0,(IF($BU$7&gt;=$C137+1, (-FV(InflationRate,$BU$7,,$E137)), 0)),0)</f>
        <v>96951.740305540152</v>
      </c>
      <c r="BW137" s="149">
        <f>IF($C137&gt;0,(IF($BU$7&gt;=$C137+1, (-FV(InflationRate,$BU$7,,$F137)), 0)),0)</f>
        <v>0</v>
      </c>
      <c r="BX137" s="157">
        <f>IF($C137&gt;0,(IF($BU$7&gt;=$C137+1, (-FV(InflationRate,$BU$7,,$G137)), 0)),0)</f>
        <v>523967.12591597065</v>
      </c>
      <c r="BY137" s="160">
        <f>IF($C137&gt;0,(IF($C137=$BY$7,(-FV(InflationRate,$BY$7,,$D137)),0)),0)</f>
        <v>0</v>
      </c>
      <c r="BZ137" s="150">
        <f>IF($C137&gt;0,(IF($BY$7&gt;=$C137+1, (-FV(InflationRate,$BY$7,,$E137)), 0)),0)</f>
        <v>99860.292514706351</v>
      </c>
      <c r="CA137" s="150">
        <f>IF($C137&gt;0,(IF($BY$7&gt;=$C137+1, (-FV(InflationRate,$BY$7,,$F137)), 0)),0)</f>
        <v>0</v>
      </c>
      <c r="CB137" s="176">
        <f>IF($C137&gt;0,(IF($BY$7&gt;=$C137+1, (-FV(InflationRate,$BY$7,,$G137)), 0)),0)</f>
        <v>539686.13969344972</v>
      </c>
      <c r="CC137" s="168">
        <f>IF($C137&gt;0,(IF($C137=$CC$7,(-FV(InflationRate,$CC$7,,$D137)),0)),0)</f>
        <v>0</v>
      </c>
      <c r="CD137" s="149">
        <f>IF($C137&gt;0,(IF($CC$7&gt;=$C137+1, (-FV(InflationRate,$CC$7,,$E137)), 0)),0)</f>
        <v>102856.10129014755</v>
      </c>
      <c r="CE137" s="149">
        <f>IF($C137&gt;0,(IF($CC$7&gt;=$C137+1, (-FV(InflationRate,$CC$7,,$F137)), 0)),0)</f>
        <v>0</v>
      </c>
      <c r="CF137" s="157">
        <f>IF($C137&gt;0,(IF($CC$7&gt;=$C137+1, (-FV(InflationRate,$CC$7,,$G137)), 0)),0)</f>
        <v>555876.7238842533</v>
      </c>
      <c r="CG137" s="160">
        <f>IF($C137&gt;0,(IF($C137=$CG$7,(-FV(InflationRate,$CG$7,,$D137)),0)),0)</f>
        <v>0</v>
      </c>
      <c r="CH137" s="150">
        <f>IF($C137&gt;0,(IF($CG$7&gt;=$C137+1, (-FV(InflationRate,$CG$7,,$E137)), 0)),0)</f>
        <v>105941.78432885198</v>
      </c>
      <c r="CI137" s="150">
        <f>IF($C137&gt;0,(IF($CG$7&gt;=$C137+1, (-FV(InflationRate,$CG$7,,$F137)), 0)),0)</f>
        <v>0</v>
      </c>
      <c r="CJ137" s="176">
        <f>IF($C137&gt;0,(IF($CG$7&gt;=$C137+1, (-FV(InflationRate,$CG$7,,$G137)), 0)),0)</f>
        <v>572553.02560078097</v>
      </c>
      <c r="CK137" s="168">
        <f>IF($C137&gt;0,(IF($C137=$CK$7,(-FV(InflationRate,$CK$7,,$D137)),0)),0)</f>
        <v>0</v>
      </c>
      <c r="CL137" s="149">
        <f>IF($C137&gt;0,(IF($CK$7&gt;=$C137+1, (-FV(InflationRate,$CK$7,,$E137)), 0)),0)</f>
        <v>109120.03785871752</v>
      </c>
      <c r="CM137" s="149">
        <f>IF($C137&gt;0,(IF($CK$7&gt;=$C137+1, (-FV(InflationRate,$CK$7,,$F137)), 0)),0)</f>
        <v>0</v>
      </c>
      <c r="CN137" s="157">
        <f>IF($C137&gt;0,(IF($CK$7&gt;=$C137+1, (-FV(InflationRate,$CK$7,,$G137)), 0)),0)</f>
        <v>589729.61636880424</v>
      </c>
      <c r="CO137" s="160">
        <f>IF($C137&gt;0,(IF($C137=$CO$7,(-FV(InflationRate,$CO$7,,$D137)),0)),0)</f>
        <v>0</v>
      </c>
      <c r="CP137" s="150">
        <f>IF($C137&gt;0,(IF($CO$7&gt;=$C137+1, (-FV(InflationRate,$CO$7,,$E137)), 0)),0)</f>
        <v>112393.63899447904</v>
      </c>
      <c r="CQ137" s="150">
        <f>IF($C137&gt;0,(IF($CO$7&gt;=$C137+1, (-FV(InflationRate,$CO$7,,$F137)), 0)),0)</f>
        <v>0</v>
      </c>
      <c r="CR137" s="176">
        <f>IF($C137&gt;0,(IF($CO$7&gt;=$C137+1, (-FV(InflationRate,$CO$7,,$G137)), 0)),0)</f>
        <v>607421.50485986832</v>
      </c>
      <c r="CS137" s="168">
        <f>IF($C137&gt;0,(IF($C137=$CS$7,(-FV(InflationRate,$CS$7,,$D137)),0)),0)</f>
        <v>0</v>
      </c>
      <c r="CT137" s="149">
        <f>IF($C137&gt;0,(IF($CS$7&gt;=$C137+1, (-FV(InflationRate,$CS$7,,$E137)), 0)),0)</f>
        <v>115765.44816431342</v>
      </c>
      <c r="CU137" s="149">
        <f>IF($C137&gt;0,(IF($CS$7&gt;=$C137+1, (-FV(InflationRate,$CS$7,,$F137)), 0)),0)</f>
        <v>0</v>
      </c>
      <c r="CV137" s="157">
        <f>IF($C137&gt;0,(IF($CS$7&gt;=$C137+1, (-FV(InflationRate,$CS$7,,$G137)), 0)),0)</f>
        <v>625644.15000566444</v>
      </c>
      <c r="CW137" s="160">
        <f>IF($C137&gt;0,(IF($C137=$CW$7,(-FV(InflationRate,$CW$7,,$D137)),0)),0)</f>
        <v>0</v>
      </c>
      <c r="CX137" s="150">
        <f>IF($C137&gt;0,(IF($CW$7&gt;=$C137+1, (-FV(InflationRate,$CW$7,,$E137)), 0)),0)</f>
        <v>119238.41160924282</v>
      </c>
      <c r="CY137" s="150">
        <f>IF($C137&gt;0,(IF($CW$7&gt;=$C137+1, (-FV(InflationRate,$CW$7,,$F137)), 0)),0)</f>
        <v>0</v>
      </c>
      <c r="CZ137" s="176">
        <f>IF($C137&gt;0,(IF($CW$7&gt;=$C137+1, (-FV(InflationRate,$CW$7,,$G137)), 0)),0)</f>
        <v>644413.4745058344</v>
      </c>
      <c r="DA137" s="168">
        <f>IF($C137&gt;0,(IF($C137=$DA$7,(-FV(InflationRate,$DA$7,,$D137)),0)),0)</f>
        <v>0</v>
      </c>
      <c r="DB137" s="149">
        <f>IF($C137&gt;0,(IF($DA$7&gt;=$C137+1, (-FV(InflationRate,$DA$7,,$E137)), 0)),0)</f>
        <v>122815.56395752011</v>
      </c>
      <c r="DC137" s="149">
        <f>IF($C137&gt;0,(IF($DA$7&gt;=$C137+1, (-FV(InflationRate,$DA$7,,$F137)), 0)),0)</f>
        <v>0</v>
      </c>
      <c r="DD137" s="157">
        <f>IF($C137&gt;0,(IF($DA$7&gt;=$C137+1, (-FV(InflationRate,$DA$7,,$G137)), 0)),0)</f>
        <v>663745.87874100939</v>
      </c>
    </row>
    <row r="138" spans="2:108" x14ac:dyDescent="0.2">
      <c r="B138" s="183" t="s">
        <v>203</v>
      </c>
      <c r="C138" s="556">
        <v>7</v>
      </c>
      <c r="D138" s="168"/>
      <c r="E138" s="149"/>
      <c r="F138" s="149">
        <f>F135</f>
        <v>133100</v>
      </c>
      <c r="G138" s="149"/>
      <c r="H138" s="168">
        <f>SUM(I138:AB138)</f>
        <v>2128001.9813666958</v>
      </c>
      <c r="I138" s="610">
        <f>-PV(InterestRate,I$8,,(SUM(AC138:AF138)))</f>
        <v>0</v>
      </c>
      <c r="J138" s="610">
        <f>-PV(InterestRate,J$8,,(SUM(AG138:AJ138)))</f>
        <v>0</v>
      </c>
      <c r="K138" s="610">
        <f>-PV(InterestRate,K$8,,(SUM(AK138:AN138)))</f>
        <v>0</v>
      </c>
      <c r="L138" s="610">
        <f>-PV(InterestRate,L$8,,(SUM(AO138:AR138)))</f>
        <v>0</v>
      </c>
      <c r="M138" s="610">
        <f>-PV(InterestRate,M$8,,(SUM(AS138:AV138)))</f>
        <v>0</v>
      </c>
      <c r="N138" s="610">
        <f>-PV(InterestRate,N$8,,(SUM(AW138:AZ138)))</f>
        <v>0</v>
      </c>
      <c r="O138" s="610">
        <f>-PV(InterestRate,O$8,,(SUM(BA138:BD138)))</f>
        <v>0</v>
      </c>
      <c r="P138" s="610">
        <f>-PV(InterestRate,P$8,,(SUM(BE138:BH138)))</f>
        <v>149674.39629788176</v>
      </c>
      <c r="Q138" s="610">
        <f>-PV(InterestRate,Q$8,,(SUM(BI138:BL138)))</f>
        <v>151886.3331889835</v>
      </c>
      <c r="R138" s="610">
        <f>-PV(InterestRate,R$8,,(SUM(BM138:BP138)))</f>
        <v>154130.95880261381</v>
      </c>
      <c r="S138" s="610">
        <f>-PV(InterestRate,S$8,,(SUM(BQ138:BT138)))</f>
        <v>156408.75622334212</v>
      </c>
      <c r="T138" s="610">
        <f>-PV(InterestRate,T$8,,(SUM(BU138:BX138)))</f>
        <v>158720.21567491861</v>
      </c>
      <c r="U138" s="610">
        <f>-PV(InterestRate,U$8,,(SUM(BY138:CB138)))</f>
        <v>161065.83462577948</v>
      </c>
      <c r="V138" s="610">
        <f>-PV(InterestRate,V$8,,(SUM(CC138:CF138)))</f>
        <v>163446.11789611127</v>
      </c>
      <c r="W138" s="610">
        <f>-PV(InterestRate,W$8,,(SUM(CG138:CJ138)))</f>
        <v>165861.57776649715</v>
      </c>
      <c r="X138" s="610">
        <f>-PV(InterestRate,X$8,,(SUM(CK138:CN138)))</f>
        <v>168312.73408816953</v>
      </c>
      <c r="Y138" s="610">
        <f>-PV(InterestRate,Y$8,,(SUM(CO138:CR138)))</f>
        <v>170800.11439489128</v>
      </c>
      <c r="Z138" s="610">
        <f>-PV(InterestRate,Z$8,,(SUM(CS138:CV138)))</f>
        <v>173324.25401649065</v>
      </c>
      <c r="AA138" s="610">
        <f>-PV(InterestRate,AA$8,,(SUM(CW138:CZ138)))</f>
        <v>175885.69619407429</v>
      </c>
      <c r="AB138" s="611">
        <f>-PV(InterestRate,AB$8,,(SUM(DA138:DD138)))</f>
        <v>178484.99219694242</v>
      </c>
      <c r="AC138" s="160"/>
      <c r="AD138" s="150"/>
      <c r="AE138" s="150"/>
      <c r="AF138" s="165"/>
      <c r="AG138" s="168"/>
      <c r="AH138" s="149"/>
      <c r="AI138" s="149"/>
      <c r="AJ138" s="171"/>
      <c r="AK138" s="160"/>
      <c r="AL138" s="150"/>
      <c r="AM138" s="150"/>
      <c r="AN138" s="165"/>
      <c r="AO138" s="168">
        <f>IF($C138&gt;0,(IF($C138=$AO$7,(-FV(InflationRate,$AO$7,,$D138)),0)),0)</f>
        <v>0</v>
      </c>
      <c r="AP138" s="149">
        <f>IF($C138&gt;0,(IF($AO$7&gt;=$C138+1, (-FV(InflationRate,$AO$7,,$E138)), 0)),0)</f>
        <v>0</v>
      </c>
      <c r="AQ138" s="149">
        <f>IF($C138&gt;0,(IF($AO$7&gt;=$C138+1, (-FV(InflationRate,$AO$7,,$F138)), 0)),0)</f>
        <v>0</v>
      </c>
      <c r="AR138" s="157">
        <f>IF($C138&gt;0,(IF($AO$7&gt;=$C138+1, (-FV(InflationRate,$AO$7,,$G138)), 0)),0)</f>
        <v>0</v>
      </c>
      <c r="AS138" s="160">
        <f>IF($C138&gt;0,(IF($C138=$AS$7,(-FV(InflationRate,$AS$7,,$D138)),0)),0)</f>
        <v>0</v>
      </c>
      <c r="AT138" s="150">
        <f>IF($C138&gt;0,(IF($AS$7&gt;=$C138+1, (-FV(InflationRate,$AS$7,,$E138)), 0)),0)</f>
        <v>0</v>
      </c>
      <c r="AU138" s="150">
        <f>IF($C138&gt;0,(IF($AS$7&gt;=$C138+1, (-FV(InflationRate,$AS$7,,$F138)), 0)),0)</f>
        <v>0</v>
      </c>
      <c r="AV138" s="165">
        <f>IF($C138&gt;0,(IF($AS$7&gt;=$C138+1, (-FV(InflationRate,$AS$7,,$G138)), 0)),0)</f>
        <v>0</v>
      </c>
      <c r="AW138" s="168">
        <f>IF($C138&gt;0,(IF($C138=$AW$7,(-FV(InflationRate,$AW$7,,$D138)),0)),0)</f>
        <v>0</v>
      </c>
      <c r="AX138" s="149">
        <f>IF($C138&gt;0,(IF($AW$7&gt;=$C138+1, (-FV(InflationRate,$AW$7,,$E138)), 0)),0)</f>
        <v>0</v>
      </c>
      <c r="AY138" s="149">
        <f>IF($C138&gt;0,(IF($AW$7&gt;=$C138+1, (-FV(InflationRate,$AW$7,,$F138)), 0)),0)</f>
        <v>0</v>
      </c>
      <c r="AZ138" s="157">
        <f>IF($C138&gt;0,(IF($AW$7&gt;=$C138+1, (-FV(InflationRate,$AW$7,,$G138)), 0)),0)</f>
        <v>0</v>
      </c>
      <c r="BA138" s="160">
        <f>IF($C138&gt;0,(IF($C138=$BA$7,(-FV(InflationRate,$BA$7,,$D138)),0)),0)</f>
        <v>0</v>
      </c>
      <c r="BB138" s="150">
        <f>IF($C138&gt;0,(IF($BA$7&gt;=$C138+1, (-FV(InflationRate,$BA$7,,$E138)), 0)),0)</f>
        <v>0</v>
      </c>
      <c r="BC138" s="150">
        <f>IF($C138&gt;0,(IF($BA$7&gt;=$C138+1, (-FV(InflationRate,$BA$7,,$F138)), 0)),0)</f>
        <v>0</v>
      </c>
      <c r="BD138" s="176">
        <f>IF($C138&gt;0,(IF($BA$7&gt;=$C138+1, (-FV(InflationRate,$BA$7,,$G138)), 0)),0)</f>
        <v>0</v>
      </c>
      <c r="BE138" s="168">
        <f>IF($C138&gt;0,(IF($C138=$BE$7,(-FV(InflationRate,$BE$7,,$D138)),0)),0)</f>
        <v>0</v>
      </c>
      <c r="BF138" s="149">
        <f>IF($C138&gt;0,(IF($BE$7&gt;=$C138+1, (-FV(InflationRate,$BE$7,,$E138)), 0)),0)</f>
        <v>0</v>
      </c>
      <c r="BG138" s="149">
        <f>IF($C138&gt;0,(IF($BE$7&gt;=$C138+1, (-FV(InflationRate,$BE$7,,$F138)), 0)),0)</f>
        <v>168607.09783269168</v>
      </c>
      <c r="BH138" s="171">
        <f>IF($C138&gt;0,(IF($BE$7&gt;=$C138+1, (-FV(InflationRate,$BE$7,,$G138)), 0)),0)</f>
        <v>0</v>
      </c>
      <c r="BI138" s="160">
        <f>IF($C138&gt;0,(IF($C138=$BI$7,(-FV(InflationRate,$BI$7,,$D138)),0)),0)</f>
        <v>0</v>
      </c>
      <c r="BJ138" s="150">
        <f>IF($C138&gt;0,(IF($BI$7&gt;=$C138+1, (-FV(InflationRate,$BI$7,,$E138)), 0)),0)</f>
        <v>0</v>
      </c>
      <c r="BK138" s="150">
        <f>IF($C138&gt;0,(IF($BI$7&gt;=$C138+1, (-FV(InflationRate,$BI$7,,$F138)), 0)),0)</f>
        <v>173665.31076767243</v>
      </c>
      <c r="BL138" s="176">
        <f>IF($C138&gt;0,(IF($BI$7&gt;=$C138+1, (-FV(InflationRate,$BI$7,,$G138)), 0)),0)</f>
        <v>0</v>
      </c>
      <c r="BM138" s="168">
        <f>IF($C138&gt;0,(IF($C138=$BM$7,(-FV(InflationRate,$BM$7,,$D138)),0)),0)</f>
        <v>0</v>
      </c>
      <c r="BN138" s="149">
        <f>IF($C138&gt;0,(IF($BM$7&gt;=$C138+1, (-FV(InflationRate,$BM$7,,$E138)), 0)),0)</f>
        <v>0</v>
      </c>
      <c r="BO138" s="149">
        <f>IF($C138&gt;0,(IF($BM$7&gt;=$C138+1, (-FV(InflationRate,$BM$7,,$F138)), 0)),0)</f>
        <v>178875.2700907026</v>
      </c>
      <c r="BP138" s="157">
        <f>IF($C138&gt;0,(IF($BM$7&gt;=$C138+1, (-FV(InflationRate,$BM$7,,$G138)), 0)),0)</f>
        <v>0</v>
      </c>
      <c r="BQ138" s="160">
        <f>IF($C138&gt;0,(IF($C138=$BQ$7,(-FV(InflationRate,$BQ$7,,$D138)),0)),0)</f>
        <v>0</v>
      </c>
      <c r="BR138" s="150">
        <f>IF($C138&gt;0,(IF($BQ$7&gt;=$C138+1, (-FV(InflationRate,$BQ$7,,$E138)), 0)),0)</f>
        <v>0</v>
      </c>
      <c r="BS138" s="150">
        <f>IF($C138&gt;0,(IF($BQ$7&gt;=$C138+1, (-FV(InflationRate,$BQ$7,,$F138)), 0)),0)</f>
        <v>184241.5281934237</v>
      </c>
      <c r="BT138" s="176">
        <f>IF($C138&gt;0,(IF($BQ$7&gt;=$C138+1, (-FV(InflationRate,$BQ$7,,$G138)), 0)),0)</f>
        <v>0</v>
      </c>
      <c r="BU138" s="168">
        <f>IF($C138&gt;0,(IF($C138=$BU$7,(-FV(InflationRate,$BU$7,,$D138)),0)),0)</f>
        <v>0</v>
      </c>
      <c r="BV138" s="149">
        <f>IF($C138&gt;0,(IF($BU$7&gt;=$C138+1, (-FV(InflationRate,$BU$7,,$E138)), 0)),0)</f>
        <v>0</v>
      </c>
      <c r="BW138" s="149">
        <f>IF($C138&gt;0,(IF($BU$7&gt;=$C138+1, (-FV(InflationRate,$BU$7,,$F138)), 0)),0)</f>
        <v>189768.77403922638</v>
      </c>
      <c r="BX138" s="157">
        <f>IF($C138&gt;0,(IF($BU$7&gt;=$C138+1, (-FV(InflationRate,$BU$7,,$G138)), 0)),0)</f>
        <v>0</v>
      </c>
      <c r="BY138" s="160">
        <f>IF($C138&gt;0,(IF($C138=$BY$7,(-FV(InflationRate,$BY$7,,$D138)),0)),0)</f>
        <v>0</v>
      </c>
      <c r="BZ138" s="150">
        <f>IF($C138&gt;0,(IF($BY$7&gt;=$C138+1, (-FV(InflationRate,$BY$7,,$E138)), 0)),0)</f>
        <v>0</v>
      </c>
      <c r="CA138" s="150">
        <f>IF($C138&gt;0,(IF($BY$7&gt;=$C138+1, (-FV(InflationRate,$BY$7,,$F138)), 0)),0)</f>
        <v>195461.83726040315</v>
      </c>
      <c r="CB138" s="176">
        <f>IF($C138&gt;0,(IF($BY$7&gt;=$C138+1, (-FV(InflationRate,$BY$7,,$G138)), 0)),0)</f>
        <v>0</v>
      </c>
      <c r="CC138" s="168">
        <f>IF($C138&gt;0,(IF($C138=$CC$7,(-FV(InflationRate,$CC$7,,$D138)),0)),0)</f>
        <v>0</v>
      </c>
      <c r="CD138" s="149">
        <f>IF($C138&gt;0,(IF($CC$7&gt;=$C138+1, (-FV(InflationRate,$CC$7,,$E138)), 0)),0)</f>
        <v>0</v>
      </c>
      <c r="CE138" s="149">
        <f>IF($C138&gt;0,(IF($CC$7&gt;=$C138+1, (-FV(InflationRate,$CC$7,,$F138)), 0)),0)</f>
        <v>201325.69237821529</v>
      </c>
      <c r="CF138" s="157">
        <f>IF($C138&gt;0,(IF($CC$7&gt;=$C138+1, (-FV(InflationRate,$CC$7,,$G138)), 0)),0)</f>
        <v>0</v>
      </c>
      <c r="CG138" s="160">
        <f>IF($C138&gt;0,(IF($C138=$CG$7,(-FV(InflationRate,$CG$7,,$D138)),0)),0)</f>
        <v>0</v>
      </c>
      <c r="CH138" s="150">
        <f>IF($C138&gt;0,(IF($CG$7&gt;=$C138+1, (-FV(InflationRate,$CG$7,,$E138)), 0)),0)</f>
        <v>0</v>
      </c>
      <c r="CI138" s="150">
        <f>IF($C138&gt;0,(IF($CG$7&gt;=$C138+1, (-FV(InflationRate,$CG$7,,$F138)), 0)),0)</f>
        <v>207365.46314956175</v>
      </c>
      <c r="CJ138" s="176">
        <f>IF($C138&gt;0,(IF($CG$7&gt;=$C138+1, (-FV(InflationRate,$CG$7,,$G138)), 0)),0)</f>
        <v>0</v>
      </c>
      <c r="CK138" s="168">
        <f>IF($C138&gt;0,(IF($C138=$CK$7,(-FV(InflationRate,$CK$7,,$D138)),0)),0)</f>
        <v>0</v>
      </c>
      <c r="CL138" s="149">
        <f>IF($C138&gt;0,(IF($CK$7&gt;=$C138+1, (-FV(InflationRate,$CK$7,,$E138)), 0)),0)</f>
        <v>0</v>
      </c>
      <c r="CM138" s="149">
        <f>IF($C138&gt;0,(IF($CK$7&gt;=$C138+1, (-FV(InflationRate,$CK$7,,$F138)), 0)),0)</f>
        <v>213586.42704404856</v>
      </c>
      <c r="CN138" s="157">
        <f>IF($C138&gt;0,(IF($CK$7&gt;=$C138+1, (-FV(InflationRate,$CK$7,,$G138)), 0)),0)</f>
        <v>0</v>
      </c>
      <c r="CO138" s="160">
        <f>IF($C138&gt;0,(IF($C138=$CO$7,(-FV(InflationRate,$CO$7,,$D138)),0)),0)</f>
        <v>0</v>
      </c>
      <c r="CP138" s="150">
        <f>IF($C138&gt;0,(IF($CO$7&gt;=$C138+1, (-FV(InflationRate,$CO$7,,$E138)), 0)),0)</f>
        <v>0</v>
      </c>
      <c r="CQ138" s="150">
        <f>IF($C138&gt;0,(IF($CO$7&gt;=$C138+1, (-FV(InflationRate,$CO$7,,$F138)), 0)),0)</f>
        <v>219994.01985537002</v>
      </c>
      <c r="CR138" s="176">
        <f>IF($C138&gt;0,(IF($CO$7&gt;=$C138+1, (-FV(InflationRate,$CO$7,,$G138)), 0)),0)</f>
        <v>0</v>
      </c>
      <c r="CS138" s="168">
        <f>IF($C138&gt;0,(IF($C138=$CS$7,(-FV(InflationRate,$CS$7,,$D138)),0)),0)</f>
        <v>0</v>
      </c>
      <c r="CT138" s="149">
        <f>IF($C138&gt;0,(IF($CS$7&gt;=$C138+1, (-FV(InflationRate,$CS$7,,$E138)), 0)),0)</f>
        <v>0</v>
      </c>
      <c r="CU138" s="149">
        <f>IF($C138&gt;0,(IF($CS$7&gt;=$C138+1, (-FV(InflationRate,$CS$7,,$F138)), 0)),0)</f>
        <v>226593.84045103111</v>
      </c>
      <c r="CV138" s="157">
        <f>IF($C138&gt;0,(IF($CS$7&gt;=$C138+1, (-FV(InflationRate,$CS$7,,$G138)), 0)),0)</f>
        <v>0</v>
      </c>
      <c r="CW138" s="160">
        <f>IF($C138&gt;0,(IF($C138=$CW$7,(-FV(InflationRate,$CW$7,,$D138)),0)),0)</f>
        <v>0</v>
      </c>
      <c r="CX138" s="150">
        <f>IF($C138&gt;0,(IF($CW$7&gt;=$C138+1, (-FV(InflationRate,$CW$7,,$E138)), 0)),0)</f>
        <v>0</v>
      </c>
      <c r="CY138" s="150">
        <f>IF($C138&gt;0,(IF($CW$7&gt;=$C138+1, (-FV(InflationRate,$CW$7,,$F138)), 0)),0)</f>
        <v>233391.65566456204</v>
      </c>
      <c r="CZ138" s="176">
        <f>IF($C138&gt;0,(IF($CW$7&gt;=$C138+1, (-FV(InflationRate,$CW$7,,$G138)), 0)),0)</f>
        <v>0</v>
      </c>
      <c r="DA138" s="168">
        <f>IF($C138&gt;0,(IF($C138=$DA$7,(-FV(InflationRate,$DA$7,,$D138)),0)),0)</f>
        <v>0</v>
      </c>
      <c r="DB138" s="149">
        <f>IF($C138&gt;0,(IF($DA$7&gt;=$C138+1, (-FV(InflationRate,$DA$7,,$E138)), 0)),0)</f>
        <v>0</v>
      </c>
      <c r="DC138" s="149">
        <f>IF($C138&gt;0,(IF($DA$7&gt;=$C138+1, (-FV(InflationRate,$DA$7,,$F138)), 0)),0)</f>
        <v>240393.40533449891</v>
      </c>
      <c r="DD138" s="157">
        <f>IF($C138&gt;0,(IF($DA$7&gt;=$C138+1, (-FV(InflationRate,$DA$7,,$G138)), 0)),0)</f>
        <v>0</v>
      </c>
    </row>
    <row r="139" spans="2:108" hidden="1" x14ac:dyDescent="0.2">
      <c r="B139" s="183"/>
      <c r="C139" s="189"/>
      <c r="D139" s="168"/>
      <c r="E139" s="149"/>
      <c r="F139" s="149"/>
      <c r="G139" s="149"/>
      <c r="H139" s="168"/>
      <c r="I139" s="600"/>
      <c r="J139" s="600"/>
      <c r="K139" s="600"/>
      <c r="L139" s="600"/>
      <c r="M139" s="600"/>
      <c r="N139" s="600"/>
      <c r="O139" s="600"/>
      <c r="P139" s="600"/>
      <c r="Q139" s="600"/>
      <c r="R139" s="600"/>
      <c r="S139" s="600"/>
      <c r="T139" s="600"/>
      <c r="U139" s="600"/>
      <c r="V139" s="600"/>
      <c r="W139" s="600"/>
      <c r="X139" s="600"/>
      <c r="Y139" s="600"/>
      <c r="Z139" s="600"/>
      <c r="AA139" s="600"/>
      <c r="AB139" s="601"/>
      <c r="AC139" s="160"/>
      <c r="AD139" s="150"/>
      <c r="AE139" s="150"/>
      <c r="AF139" s="165"/>
      <c r="AG139" s="168"/>
      <c r="AH139" s="149"/>
      <c r="AI139" s="149"/>
      <c r="AJ139" s="171"/>
      <c r="AK139" s="160"/>
      <c r="AL139" s="150"/>
      <c r="AM139" s="150"/>
      <c r="AN139" s="165"/>
      <c r="AO139" s="168"/>
      <c r="AP139" s="149"/>
      <c r="AQ139" s="149"/>
      <c r="AR139" s="157"/>
      <c r="AS139" s="160"/>
      <c r="AT139" s="150"/>
      <c r="AU139" s="150"/>
      <c r="AV139" s="165"/>
      <c r="AW139" s="168"/>
      <c r="AX139" s="149"/>
      <c r="AY139" s="149"/>
      <c r="AZ139" s="157"/>
      <c r="BA139" s="160"/>
      <c r="BB139" s="150"/>
      <c r="BC139" s="150"/>
      <c r="BD139" s="176"/>
      <c r="BE139" s="168"/>
      <c r="BF139" s="149"/>
      <c r="BG139" s="149"/>
      <c r="BH139" s="171"/>
      <c r="BI139" s="160"/>
      <c r="BJ139" s="150"/>
      <c r="BK139" s="150"/>
      <c r="BL139" s="176"/>
      <c r="BM139" s="168"/>
      <c r="BN139" s="149"/>
      <c r="BO139" s="149"/>
      <c r="BP139" s="157"/>
      <c r="BQ139" s="160"/>
      <c r="BR139" s="150"/>
      <c r="BS139" s="150"/>
      <c r="BT139" s="176"/>
      <c r="BU139" s="168"/>
      <c r="BV139" s="149"/>
      <c r="BW139" s="149"/>
      <c r="BX139" s="157"/>
      <c r="BY139" s="160"/>
      <c r="BZ139" s="150"/>
      <c r="CA139" s="150"/>
      <c r="CB139" s="176"/>
      <c r="CC139" s="168"/>
      <c r="CD139" s="149"/>
      <c r="CE139" s="149"/>
      <c r="CF139" s="157"/>
      <c r="CG139" s="160"/>
      <c r="CH139" s="150"/>
      <c r="CI139" s="150"/>
      <c r="CJ139" s="176"/>
      <c r="CK139" s="168"/>
      <c r="CL139" s="149"/>
      <c r="CM139" s="149"/>
      <c r="CN139" s="157"/>
      <c r="CO139" s="160"/>
      <c r="CP139" s="150"/>
      <c r="CQ139" s="150"/>
      <c r="CR139" s="176"/>
      <c r="CS139" s="168"/>
      <c r="CT139" s="149"/>
      <c r="CU139" s="149"/>
      <c r="CV139" s="157"/>
      <c r="CW139" s="160"/>
      <c r="CX139" s="150"/>
      <c r="CY139" s="150"/>
      <c r="CZ139" s="176"/>
      <c r="DA139" s="168"/>
      <c r="DB139" s="149"/>
      <c r="DC139" s="149"/>
      <c r="DD139" s="157"/>
    </row>
    <row r="140" spans="2:108" hidden="1" x14ac:dyDescent="0.2">
      <c r="B140" s="182" t="str">
        <f>'FCW - S2'!B5</f>
        <v>Floating Constructed Wetlands - Site 2</v>
      </c>
      <c r="C140" s="189"/>
      <c r="D140" s="194">
        <f>'FCW - S2'!F34</f>
        <v>0</v>
      </c>
      <c r="E140" s="195">
        <f>'FCW - S2'!F63</f>
        <v>0</v>
      </c>
      <c r="F140" s="195">
        <f>'FCW - S2'!F94</f>
        <v>0</v>
      </c>
      <c r="G140" s="195">
        <f>'FCW - S2'!F123</f>
        <v>0</v>
      </c>
      <c r="H140" s="168"/>
      <c r="I140" s="600"/>
      <c r="J140" s="600"/>
      <c r="K140" s="600"/>
      <c r="L140" s="600"/>
      <c r="M140" s="600"/>
      <c r="N140" s="600"/>
      <c r="O140" s="600"/>
      <c r="P140" s="600"/>
      <c r="Q140" s="600"/>
      <c r="R140" s="600"/>
      <c r="S140" s="600"/>
      <c r="T140" s="600"/>
      <c r="U140" s="600"/>
      <c r="V140" s="600"/>
      <c r="W140" s="600"/>
      <c r="X140" s="600"/>
      <c r="Y140" s="600"/>
      <c r="Z140" s="600"/>
      <c r="AA140" s="600"/>
      <c r="AB140" s="601"/>
      <c r="AC140" s="160"/>
      <c r="AD140" s="150"/>
      <c r="AE140" s="150"/>
      <c r="AF140" s="165"/>
      <c r="AG140" s="168"/>
      <c r="AH140" s="149"/>
      <c r="AI140" s="149"/>
      <c r="AJ140" s="171"/>
      <c r="AK140" s="160"/>
      <c r="AL140" s="150"/>
      <c r="AM140" s="150"/>
      <c r="AN140" s="165"/>
      <c r="AO140" s="168"/>
      <c r="AP140" s="149"/>
      <c r="AQ140" s="149"/>
      <c r="AR140" s="157"/>
      <c r="AS140" s="160"/>
      <c r="AT140" s="150"/>
      <c r="AU140" s="150"/>
      <c r="AV140" s="165"/>
      <c r="AW140" s="168"/>
      <c r="AX140" s="149"/>
      <c r="AY140" s="149"/>
      <c r="AZ140" s="157"/>
      <c r="BA140" s="160"/>
      <c r="BB140" s="150"/>
      <c r="BC140" s="150"/>
      <c r="BD140" s="176"/>
      <c r="BE140" s="168"/>
      <c r="BF140" s="149"/>
      <c r="BG140" s="149"/>
      <c r="BH140" s="171"/>
      <c r="BI140" s="160"/>
      <c r="BJ140" s="150"/>
      <c r="BK140" s="150"/>
      <c r="BL140" s="176"/>
      <c r="BM140" s="168"/>
      <c r="BN140" s="149"/>
      <c r="BO140" s="149"/>
      <c r="BP140" s="157"/>
      <c r="BQ140" s="160"/>
      <c r="BR140" s="150"/>
      <c r="BS140" s="150"/>
      <c r="BT140" s="176"/>
      <c r="BU140" s="168"/>
      <c r="BV140" s="149"/>
      <c r="BW140" s="149"/>
      <c r="BX140" s="157"/>
      <c r="BY140" s="160"/>
      <c r="BZ140" s="150"/>
      <c r="CA140" s="150"/>
      <c r="CB140" s="176"/>
      <c r="CC140" s="168"/>
      <c r="CD140" s="149"/>
      <c r="CE140" s="149"/>
      <c r="CF140" s="157"/>
      <c r="CG140" s="160"/>
      <c r="CH140" s="150"/>
      <c r="CI140" s="150"/>
      <c r="CJ140" s="176"/>
      <c r="CK140" s="168"/>
      <c r="CL140" s="149"/>
      <c r="CM140" s="149"/>
      <c r="CN140" s="157"/>
      <c r="CO140" s="160"/>
      <c r="CP140" s="150"/>
      <c r="CQ140" s="150"/>
      <c r="CR140" s="176"/>
      <c r="CS140" s="168"/>
      <c r="CT140" s="149"/>
      <c r="CU140" s="149"/>
      <c r="CV140" s="157"/>
      <c r="CW140" s="160"/>
      <c r="CX140" s="150"/>
      <c r="CY140" s="150"/>
      <c r="CZ140" s="176"/>
      <c r="DA140" s="168"/>
      <c r="DB140" s="149"/>
      <c r="DC140" s="149"/>
      <c r="DD140" s="157"/>
    </row>
    <row r="141" spans="2:108" hidden="1" x14ac:dyDescent="0.2">
      <c r="B141" s="183" t="s">
        <v>220</v>
      </c>
      <c r="C141" s="556"/>
      <c r="D141" s="168">
        <f>'FCW - S2'!F31+'FCW - S2'!F32</f>
        <v>0</v>
      </c>
      <c r="E141" s="149"/>
      <c r="F141" s="149"/>
      <c r="G141" s="149"/>
      <c r="H141" s="168">
        <f>SUM(I141:AB141)</f>
        <v>0</v>
      </c>
      <c r="I141" s="610">
        <f>-PV(InterestRate,I$8,,(SUM(AC141:AF141)))</f>
        <v>0</v>
      </c>
      <c r="J141" s="610">
        <f>-PV(InterestRate,J$8,,(SUM(AG141:AJ141)))</f>
        <v>0</v>
      </c>
      <c r="K141" s="610">
        <f>-PV(InterestRate,K$8,,(SUM(AK141:AN141)))</f>
        <v>0</v>
      </c>
      <c r="L141" s="610">
        <f>-PV(InterestRate,L$8,,(SUM(AO141:AR141)))</f>
        <v>0</v>
      </c>
      <c r="M141" s="610">
        <f>-PV(InterestRate,M$8,,(SUM(AS141:AV141)))</f>
        <v>0</v>
      </c>
      <c r="N141" s="610">
        <f>-PV(InterestRate,N$8,,(SUM(AW141:AZ141)))</f>
        <v>0</v>
      </c>
      <c r="O141" s="610">
        <f>-PV(InterestRate,O$8,,(SUM(BA141:BD141)))</f>
        <v>0</v>
      </c>
      <c r="P141" s="610">
        <f>-PV(InterestRate,P$8,,(SUM(BE141:BH141)))</f>
        <v>0</v>
      </c>
      <c r="Q141" s="610">
        <f>-PV(InterestRate,Q$8,,(SUM(BI141:BL141)))</f>
        <v>0</v>
      </c>
      <c r="R141" s="610">
        <f>-PV(InterestRate,R$8,,(SUM(BM141:BP141)))</f>
        <v>0</v>
      </c>
      <c r="S141" s="610">
        <f>-PV(InterestRate,S$8,,(SUM(BQ141:BT141)))</f>
        <v>0</v>
      </c>
      <c r="T141" s="610">
        <f>-PV(InterestRate,T$8,,(SUM(BU141:BX141)))</f>
        <v>0</v>
      </c>
      <c r="U141" s="610">
        <f>-PV(InterestRate,U$8,,(SUM(BY141:CB141)))</f>
        <v>0</v>
      </c>
      <c r="V141" s="610">
        <f>-PV(InterestRate,V$8,,(SUM(CC141:CF141)))</f>
        <v>0</v>
      </c>
      <c r="W141" s="610">
        <f>-PV(InterestRate,W$8,,(SUM(CG141:CJ141)))</f>
        <v>0</v>
      </c>
      <c r="X141" s="610">
        <f>-PV(InterestRate,X$8,,(SUM(CK141:CN141)))</f>
        <v>0</v>
      </c>
      <c r="Y141" s="610">
        <f>-PV(InterestRate,Y$8,,(SUM(CO141:CR141)))</f>
        <v>0</v>
      </c>
      <c r="Z141" s="610">
        <f>-PV(InterestRate,Z$8,,(SUM(CS141:CV141)))</f>
        <v>0</v>
      </c>
      <c r="AA141" s="610">
        <f>-PV(InterestRate,AA$8,,(SUM(CW141:CZ141)))</f>
        <v>0</v>
      </c>
      <c r="AB141" s="611">
        <f>-PV(InterestRate,AB$8,,(SUM(DA141:DD141)))</f>
        <v>0</v>
      </c>
      <c r="AC141" s="160"/>
      <c r="AD141" s="150"/>
      <c r="AE141" s="150"/>
      <c r="AF141" s="165"/>
      <c r="AG141" s="168"/>
      <c r="AH141" s="149"/>
      <c r="AI141" s="149"/>
      <c r="AJ141" s="171"/>
      <c r="AK141" s="160"/>
      <c r="AL141" s="150"/>
      <c r="AM141" s="150"/>
      <c r="AN141" s="165"/>
      <c r="AO141" s="168">
        <f>IF($C141&gt;0,(IF($C141=$AO$7,(-FV(InflationRate,$AO$7,,$D141)),0)),0)</f>
        <v>0</v>
      </c>
      <c r="AP141" s="149">
        <f>IF($C141&gt;0,(IF($AO$7&gt;=$C141+1, (-FV(InflationRate,$AO$7,,$E141)), 0)),0)</f>
        <v>0</v>
      </c>
      <c r="AQ141" s="149">
        <f>IF($C141&gt;0,(IF($AO$7&gt;=$C141+1, (-FV(InflationRate,$AO$7,,$F141)), 0)),0)</f>
        <v>0</v>
      </c>
      <c r="AR141" s="157">
        <f>IF($C141&gt;0,(IF($AO$7&gt;=$C141+1, (-FV(InflationRate,$AO$7,,$G141)), 0)),0)</f>
        <v>0</v>
      </c>
      <c r="AS141" s="160">
        <f>IF($C141&gt;0,(IF($C141=$AS$7,(-FV(InflationRate,$AS$7,,$D141)),0)),0)</f>
        <v>0</v>
      </c>
      <c r="AT141" s="150">
        <f>IF($C141&gt;0,(IF($AS$7&gt;=$C141+1, (-FV(InflationRate,$AS$7,,$E141)), 0)),0)</f>
        <v>0</v>
      </c>
      <c r="AU141" s="150">
        <f>IF($C141&gt;0,(IF($AS$7&gt;=$C141+1, (-FV(InflationRate,$AS$7,,$F141)), 0)),0)</f>
        <v>0</v>
      </c>
      <c r="AV141" s="165">
        <f>IF($C141&gt;0,(IF($AS$7&gt;=$C141+1, (-FV(InflationRate,$AS$7,,$G141)), 0)),0)</f>
        <v>0</v>
      </c>
      <c r="AW141" s="168">
        <f>IF($C141&gt;0,(IF($C141=$AW$7,(-FV(InflationRate,$AW$7,,$D141)),0)),0)</f>
        <v>0</v>
      </c>
      <c r="AX141" s="149">
        <f>IF($C141&gt;0,(IF($AW$7&gt;=$C141+1, (-FV(InflationRate,$AW$7,,$E141)), 0)),0)</f>
        <v>0</v>
      </c>
      <c r="AY141" s="149">
        <f>IF($C141&gt;0,(IF($AW$7&gt;=$C141+1, (-FV(InflationRate,$AW$7,,$F141)), 0)),0)</f>
        <v>0</v>
      </c>
      <c r="AZ141" s="157">
        <f>IF($C141&gt;0,(IF($AW$7&gt;=$C141+1, (-FV(InflationRate,$AW$7,,$G141)), 0)),0)</f>
        <v>0</v>
      </c>
      <c r="BA141" s="160">
        <f>IF($C141&gt;0,(IF($C141=$BA$7,(-FV(InflationRate,$BA$7,,$D141)),0)),0)</f>
        <v>0</v>
      </c>
      <c r="BB141" s="150">
        <f>IF($C141&gt;0,(IF($BA$7&gt;=$C141+1, (-FV(InflationRate,$BA$7,,$E141)), 0)),0)</f>
        <v>0</v>
      </c>
      <c r="BC141" s="150">
        <f>IF($C141&gt;0,(IF($BA$7&gt;=$C141+1, (-FV(InflationRate,$BA$7,,$F141)), 0)),0)</f>
        <v>0</v>
      </c>
      <c r="BD141" s="176">
        <f>IF($C141&gt;0,(IF($BA$7&gt;=$C141+1, (-FV(InflationRate,$BA$7,,$G141)), 0)),0)</f>
        <v>0</v>
      </c>
      <c r="BE141" s="168">
        <f>IF($C141&gt;0,(IF($C141=$BE$7,(-FV(InflationRate,$BE$7,,$D141)),0)),0)</f>
        <v>0</v>
      </c>
      <c r="BF141" s="149">
        <f>IF($C141&gt;0,(IF($BE$7&gt;=$C141+1, (-FV(InflationRate,$BE$7,,$E141)), 0)),0)</f>
        <v>0</v>
      </c>
      <c r="BG141" s="149">
        <f>IF($C141&gt;0,(IF($BE$7&gt;=$C141+1, (-FV(InflationRate,$BE$7,,$F141)), 0)),0)</f>
        <v>0</v>
      </c>
      <c r="BH141" s="171">
        <f>IF($C141&gt;0,(IF($BE$7&gt;=$C141+1, (-FV(InflationRate,$BE$7,,$G141)), 0)),0)</f>
        <v>0</v>
      </c>
      <c r="BI141" s="160">
        <f>IF($C141&gt;0,(IF($C141=$BI$7,(-FV(InflationRate,$BI$7,,$D141)),0)),0)</f>
        <v>0</v>
      </c>
      <c r="BJ141" s="150">
        <f>IF($C141&gt;0,(IF($BI$7&gt;=$C141+1, (-FV(InflationRate,$BI$7,,$E141)), 0)),0)</f>
        <v>0</v>
      </c>
      <c r="BK141" s="150">
        <f>IF($C141&gt;0,(IF($BI$7&gt;=$C141+1, (-FV(InflationRate,$BI$7,,$F141)), 0)),0)</f>
        <v>0</v>
      </c>
      <c r="BL141" s="176">
        <f>IF($C141&gt;0,(IF($BI$7&gt;=$C141+1, (-FV(InflationRate,$BI$7,,$G141)), 0)),0)</f>
        <v>0</v>
      </c>
      <c r="BM141" s="168">
        <f>IF($C141&gt;0,(IF($C141=$BM$7,(-FV(InflationRate,$BM$7,,$D141)),0)),0)</f>
        <v>0</v>
      </c>
      <c r="BN141" s="149">
        <f>IF($C141&gt;0,(IF($BM$7&gt;=$C141+1, (-FV(InflationRate,$BM$7,,$E141)), 0)),0)</f>
        <v>0</v>
      </c>
      <c r="BO141" s="149">
        <f>IF($C141&gt;0,(IF($BM$7&gt;=$C141+1, (-FV(InflationRate,$BM$7,,$F141)), 0)),0)</f>
        <v>0</v>
      </c>
      <c r="BP141" s="157">
        <f>IF($C141&gt;0,(IF($BM$7&gt;=$C141+1, (-FV(InflationRate,$BM$7,,$G141)), 0)),0)</f>
        <v>0</v>
      </c>
      <c r="BQ141" s="160">
        <f>IF($C141&gt;0,(IF($C141=$BQ$7,(-FV(InflationRate,$BQ$7,,$D141)),0)),0)</f>
        <v>0</v>
      </c>
      <c r="BR141" s="150">
        <f>IF($C141&gt;0,(IF($BQ$7&gt;=$C141+1, (-FV(InflationRate,$BQ$7,,$E141)), 0)),0)</f>
        <v>0</v>
      </c>
      <c r="BS141" s="150">
        <f>IF($C141&gt;0,(IF($BQ$7&gt;=$C141+1, (-FV(InflationRate,$BQ$7,,$F141)), 0)),0)</f>
        <v>0</v>
      </c>
      <c r="BT141" s="176">
        <f>IF($C141&gt;0,(IF($BQ$7&gt;=$C141+1, (-FV(InflationRate,$BQ$7,,$G141)), 0)),0)</f>
        <v>0</v>
      </c>
      <c r="BU141" s="168">
        <f>IF($C141&gt;0,(IF($C141=$BU$7,(-FV(InflationRate,$BU$7,,$D141)),0)),0)</f>
        <v>0</v>
      </c>
      <c r="BV141" s="149">
        <f>IF($C141&gt;0,(IF($BU$7&gt;=$C141+1, (-FV(InflationRate,$BU$7,,$E141)), 0)),0)</f>
        <v>0</v>
      </c>
      <c r="BW141" s="149">
        <f>IF($C141&gt;0,(IF($BU$7&gt;=$C141+1, (-FV(InflationRate,$BU$7,,$F141)), 0)),0)</f>
        <v>0</v>
      </c>
      <c r="BX141" s="157">
        <f>IF($C141&gt;0,(IF($BU$7&gt;=$C141+1, (-FV(InflationRate,$BU$7,,$G141)), 0)),0)</f>
        <v>0</v>
      </c>
      <c r="BY141" s="160">
        <f>IF($C141&gt;0,(IF($C141=$BY$7,(-FV(InflationRate,$BY$7,,$D141)),0)),0)</f>
        <v>0</v>
      </c>
      <c r="BZ141" s="150">
        <f>IF($C141&gt;0,(IF($BY$7&gt;=$C141+1, (-FV(InflationRate,$BY$7,,$E141)), 0)),0)</f>
        <v>0</v>
      </c>
      <c r="CA141" s="150">
        <f>IF($C141&gt;0,(IF($BY$7&gt;=$C141+1, (-FV(InflationRate,$BY$7,,$F141)), 0)),0)</f>
        <v>0</v>
      </c>
      <c r="CB141" s="176">
        <f>IF($C141&gt;0,(IF($BY$7&gt;=$C141+1, (-FV(InflationRate,$BY$7,,$G141)), 0)),0)</f>
        <v>0</v>
      </c>
      <c r="CC141" s="168">
        <f>IF($C141&gt;0,(IF($C141=$CC$7,(-FV(InflationRate,$CC$7,,$D141)),0)),0)</f>
        <v>0</v>
      </c>
      <c r="CD141" s="149">
        <f>IF($C141&gt;0,(IF($CC$7&gt;=$C141+1, (-FV(InflationRate,$CC$7,,$E141)), 0)),0)</f>
        <v>0</v>
      </c>
      <c r="CE141" s="149">
        <f>IF($C141&gt;0,(IF($CC$7&gt;=$C141+1, (-FV(InflationRate,$CC$7,,$F141)), 0)),0)</f>
        <v>0</v>
      </c>
      <c r="CF141" s="157">
        <f>IF($C141&gt;0,(IF($CC$7&gt;=$C141+1, (-FV(InflationRate,$CC$7,,$G141)), 0)),0)</f>
        <v>0</v>
      </c>
      <c r="CG141" s="160">
        <f>IF($C141&gt;0,(IF($C141=$CG$7,(-FV(InflationRate,$CG$7,,$D141)),0)),0)</f>
        <v>0</v>
      </c>
      <c r="CH141" s="150">
        <f>IF($C141&gt;0,(IF($CG$7&gt;=$C141+1, (-FV(InflationRate,$CG$7,,$E141)), 0)),0)</f>
        <v>0</v>
      </c>
      <c r="CI141" s="150">
        <f>IF($C141&gt;0,(IF($CG$7&gt;=$C141+1, (-FV(InflationRate,$CG$7,,$F141)), 0)),0)</f>
        <v>0</v>
      </c>
      <c r="CJ141" s="176">
        <f>IF($C141&gt;0,(IF($CG$7&gt;=$C141+1, (-FV(InflationRate,$CG$7,,$G141)), 0)),0)</f>
        <v>0</v>
      </c>
      <c r="CK141" s="168">
        <f>IF($C141&gt;0,(IF($C141=$CK$7,(-FV(InflationRate,$CK$7,,$D141)),0)),0)</f>
        <v>0</v>
      </c>
      <c r="CL141" s="149">
        <f>IF($C141&gt;0,(IF($CK$7&gt;=$C141+1, (-FV(InflationRate,$CK$7,,$E141)), 0)),0)</f>
        <v>0</v>
      </c>
      <c r="CM141" s="149">
        <f>IF($C141&gt;0,(IF($CK$7&gt;=$C141+1, (-FV(InflationRate,$CK$7,,$F141)), 0)),0)</f>
        <v>0</v>
      </c>
      <c r="CN141" s="157">
        <f>IF($C141&gt;0,(IF($CK$7&gt;=$C141+1, (-FV(InflationRate,$CK$7,,$G141)), 0)),0)</f>
        <v>0</v>
      </c>
      <c r="CO141" s="160">
        <f>IF($C141&gt;0,(IF($C141=$CO$7,(-FV(InflationRate,$CO$7,,$D141)),0)),0)</f>
        <v>0</v>
      </c>
      <c r="CP141" s="150">
        <f>IF($C141&gt;0,(IF($CO$7&gt;=$C141+1, (-FV(InflationRate,$CO$7,,$E141)), 0)),0)</f>
        <v>0</v>
      </c>
      <c r="CQ141" s="150">
        <f>IF($C141&gt;0,(IF($CO$7&gt;=$C141+1, (-FV(InflationRate,$CO$7,,$F141)), 0)),0)</f>
        <v>0</v>
      </c>
      <c r="CR141" s="176">
        <f>IF($C141&gt;0,(IF($CO$7&gt;=$C141+1, (-FV(InflationRate,$CO$7,,$G141)), 0)),0)</f>
        <v>0</v>
      </c>
      <c r="CS141" s="168">
        <f>IF($C141&gt;0,(IF($C141=$CS$7,(-FV(InflationRate,$CS$7,,$D141)),0)),0)</f>
        <v>0</v>
      </c>
      <c r="CT141" s="149">
        <f>IF($C141&gt;0,(IF($CS$7&gt;=$C141+1, (-FV(InflationRate,$CS$7,,$E141)), 0)),0)</f>
        <v>0</v>
      </c>
      <c r="CU141" s="149">
        <f>IF($C141&gt;0,(IF($CS$7&gt;=$C141+1, (-FV(InflationRate,$CS$7,,$F141)), 0)),0)</f>
        <v>0</v>
      </c>
      <c r="CV141" s="157">
        <f>IF($C141&gt;0,(IF($CS$7&gt;=$C141+1, (-FV(InflationRate,$CS$7,,$G141)), 0)),0)</f>
        <v>0</v>
      </c>
      <c r="CW141" s="160">
        <f>IF($C141&gt;0,(IF($C141=$CW$7,(-FV(InflationRate,$CW$7,,$D141)),0)),0)</f>
        <v>0</v>
      </c>
      <c r="CX141" s="150">
        <f>IF($C141&gt;0,(IF($CW$7&gt;=$C141+1, (-FV(InflationRate,$CW$7,,$E141)), 0)),0)</f>
        <v>0</v>
      </c>
      <c r="CY141" s="150">
        <f>IF($C141&gt;0,(IF($CW$7&gt;=$C141+1, (-FV(InflationRate,$CW$7,,$F141)), 0)),0)</f>
        <v>0</v>
      </c>
      <c r="CZ141" s="176">
        <f>IF($C141&gt;0,(IF($CW$7&gt;=$C141+1, (-FV(InflationRate,$CW$7,,$G141)), 0)),0)</f>
        <v>0</v>
      </c>
      <c r="DA141" s="168">
        <f>IF($C141&gt;0,(IF($C141=$DA$7,(-FV(InflationRate,$DA$7,,$D141)),0)),0)</f>
        <v>0</v>
      </c>
      <c r="DB141" s="149">
        <f>IF($C141&gt;0,(IF($DA$7&gt;=$C141+1, (-FV(InflationRate,$DA$7,,$E141)), 0)),0)</f>
        <v>0</v>
      </c>
      <c r="DC141" s="149">
        <f>IF($C141&gt;0,(IF($DA$7&gt;=$C141+1, (-FV(InflationRate,$DA$7,,$F141)), 0)),0)</f>
        <v>0</v>
      </c>
      <c r="DD141" s="157">
        <f>IF($C141&gt;0,(IF($DA$7&gt;=$C141+1, (-FV(InflationRate,$DA$7,,$G141)), 0)),0)</f>
        <v>0</v>
      </c>
    </row>
    <row r="142" spans="2:108" hidden="1" x14ac:dyDescent="0.2">
      <c r="B142" s="183" t="s">
        <v>270</v>
      </c>
      <c r="C142" s="556"/>
      <c r="D142" s="168">
        <f>D140-D141</f>
        <v>0</v>
      </c>
      <c r="E142" s="149">
        <f>E140</f>
        <v>0</v>
      </c>
      <c r="F142" s="149"/>
      <c r="G142" s="149">
        <f>G140</f>
        <v>0</v>
      </c>
      <c r="H142" s="168">
        <f>SUM(I142:AB142)</f>
        <v>0</v>
      </c>
      <c r="I142" s="610">
        <f>-PV(InterestRate,I$8,,(SUM(AC142:AF142)))</f>
        <v>0</v>
      </c>
      <c r="J142" s="610">
        <f>-PV(InterestRate,J$8,,(SUM(AG142:AJ142)))</f>
        <v>0</v>
      </c>
      <c r="K142" s="610">
        <f>-PV(InterestRate,K$8,,(SUM(AK142:AN142)))</f>
        <v>0</v>
      </c>
      <c r="L142" s="610">
        <f>-PV(InterestRate,L$8,,(SUM(AO142:AR142)))</f>
        <v>0</v>
      </c>
      <c r="M142" s="610">
        <f>-PV(InterestRate,M$8,,(SUM(AS142:AV142)))</f>
        <v>0</v>
      </c>
      <c r="N142" s="610">
        <f>-PV(InterestRate,N$8,,(SUM(AW142:AZ142)))</f>
        <v>0</v>
      </c>
      <c r="O142" s="610">
        <f>-PV(InterestRate,O$8,,(SUM(BA142:BD142)))</f>
        <v>0</v>
      </c>
      <c r="P142" s="610">
        <f>-PV(InterestRate,P$8,,(SUM(BE142:BH142)))</f>
        <v>0</v>
      </c>
      <c r="Q142" s="610">
        <f>-PV(InterestRate,Q$8,,(SUM(BI142:BL142)))</f>
        <v>0</v>
      </c>
      <c r="R142" s="610">
        <f>-PV(InterestRate,R$8,,(SUM(BM142:BP142)))</f>
        <v>0</v>
      </c>
      <c r="S142" s="610">
        <f>-PV(InterestRate,S$8,,(SUM(BQ142:BT142)))</f>
        <v>0</v>
      </c>
      <c r="T142" s="610">
        <f>-PV(InterestRate,T$8,,(SUM(BU142:BX142)))</f>
        <v>0</v>
      </c>
      <c r="U142" s="610">
        <f>-PV(InterestRate,U$8,,(SUM(BY142:CB142)))</f>
        <v>0</v>
      </c>
      <c r="V142" s="610">
        <f>-PV(InterestRate,V$8,,(SUM(CC142:CF142)))</f>
        <v>0</v>
      </c>
      <c r="W142" s="610">
        <f>-PV(InterestRate,W$8,,(SUM(CG142:CJ142)))</f>
        <v>0</v>
      </c>
      <c r="X142" s="610">
        <f>-PV(InterestRate,X$8,,(SUM(CK142:CN142)))</f>
        <v>0</v>
      </c>
      <c r="Y142" s="610">
        <f>-PV(InterestRate,Y$8,,(SUM(CO142:CR142)))</f>
        <v>0</v>
      </c>
      <c r="Z142" s="610">
        <f>-PV(InterestRate,Z$8,,(SUM(CS142:CV142)))</f>
        <v>0</v>
      </c>
      <c r="AA142" s="610">
        <f>-PV(InterestRate,AA$8,,(SUM(CW142:CZ142)))</f>
        <v>0</v>
      </c>
      <c r="AB142" s="611">
        <f>-PV(InterestRate,AB$8,,(SUM(DA142:DD142)))</f>
        <v>0</v>
      </c>
      <c r="AC142" s="160"/>
      <c r="AD142" s="150"/>
      <c r="AE142" s="150"/>
      <c r="AF142" s="165"/>
      <c r="AG142" s="168"/>
      <c r="AH142" s="149"/>
      <c r="AI142" s="149"/>
      <c r="AJ142" s="171"/>
      <c r="AK142" s="160"/>
      <c r="AL142" s="150"/>
      <c r="AM142" s="150"/>
      <c r="AN142" s="165"/>
      <c r="AO142" s="168">
        <f>IF($C142&gt;0,(IF($C142=$AO$7,(-FV(InflationRate,$AO$7,,$D142)),0)),0)</f>
        <v>0</v>
      </c>
      <c r="AP142" s="149">
        <f>IF($C142&gt;0,(IF($AO$7&gt;=$C142+1, (-FV(InflationRate,$AO$7,,$E142)), 0)),0)</f>
        <v>0</v>
      </c>
      <c r="AQ142" s="149">
        <f>IF($C142&gt;0,(IF($AO$7&gt;=$C142+1, (-FV(InflationRate,$AO$7,,$F142)), 0)),0)</f>
        <v>0</v>
      </c>
      <c r="AR142" s="157">
        <f>IF($C142&gt;0,(IF($AO$7&gt;=$C142+1, (-FV(InflationRate,$AO$7,,$G142)), 0)),0)</f>
        <v>0</v>
      </c>
      <c r="AS142" s="160">
        <f>IF($C142&gt;0,(IF($C142=$AS$7,(-FV(InflationRate,$AS$7,,$D142)),0)),0)</f>
        <v>0</v>
      </c>
      <c r="AT142" s="150">
        <f>IF($C142&gt;0,(IF($AS$7&gt;=$C142+1, (-FV(InflationRate,$AS$7,,$E142)), 0)),0)</f>
        <v>0</v>
      </c>
      <c r="AU142" s="150">
        <f>IF($C142&gt;0,(IF($AS$7&gt;=$C142+1, (-FV(InflationRate,$AS$7,,$F142)), 0)),0)</f>
        <v>0</v>
      </c>
      <c r="AV142" s="165">
        <f>IF($C142&gt;0,(IF($AS$7&gt;=$C142+1, (-FV(InflationRate,$AS$7,,$G142)), 0)),0)</f>
        <v>0</v>
      </c>
      <c r="AW142" s="168">
        <f>IF($C142&gt;0,(IF($C142=$AW$7,(-FV(InflationRate,$AW$7,,$D142)),0)),0)</f>
        <v>0</v>
      </c>
      <c r="AX142" s="149">
        <f>IF($C142&gt;0,(IF($AW$7&gt;=$C142+1, (-FV(InflationRate,$AW$7,,$E142)), 0)),0)</f>
        <v>0</v>
      </c>
      <c r="AY142" s="149">
        <f>IF($C142&gt;0,(IF($AW$7&gt;=$C142+1, (-FV(InflationRate,$AW$7,,$F142)), 0)),0)</f>
        <v>0</v>
      </c>
      <c r="AZ142" s="157">
        <f>IF($C142&gt;0,(IF($AW$7&gt;=$C142+1, (-FV(InflationRate,$AW$7,,$G142)), 0)),0)</f>
        <v>0</v>
      </c>
      <c r="BA142" s="160">
        <f>IF($C142&gt;0,(IF($C142=$BA$7,(-FV(InflationRate,$BA$7,,$D142)),0)),0)</f>
        <v>0</v>
      </c>
      <c r="BB142" s="150">
        <f>IF($C142&gt;0,(IF($BA$7&gt;=$C142+1, (-FV(InflationRate,$BA$7,,$E142)), 0)),0)</f>
        <v>0</v>
      </c>
      <c r="BC142" s="150">
        <f>IF($C142&gt;0,(IF($BA$7&gt;=$C142+1, (-FV(InflationRate,$BA$7,,$F142)), 0)),0)</f>
        <v>0</v>
      </c>
      <c r="BD142" s="176">
        <f>IF($C142&gt;0,(IF($BA$7&gt;=$C142+1, (-FV(InflationRate,$BA$7,,$G142)), 0)),0)</f>
        <v>0</v>
      </c>
      <c r="BE142" s="168">
        <f>IF($C142&gt;0,(IF($C142=$BE$7,(-FV(InflationRate,$BE$7,,$D142)),0)),0)</f>
        <v>0</v>
      </c>
      <c r="BF142" s="149">
        <f>IF($C142&gt;0,(IF($BE$7&gt;=$C142+1, (-FV(InflationRate,$BE$7,,$E142)), 0)),0)</f>
        <v>0</v>
      </c>
      <c r="BG142" s="149">
        <f>IF($C142&gt;0,(IF($BE$7&gt;=$C142+1, (-FV(InflationRate,$BE$7,,$F142)), 0)),0)</f>
        <v>0</v>
      </c>
      <c r="BH142" s="171">
        <f>IF($C142&gt;0,(IF($BE$7&gt;=$C142+1, (-FV(InflationRate,$BE$7,,$G142)), 0)),0)</f>
        <v>0</v>
      </c>
      <c r="BI142" s="160">
        <f>IF($C142&gt;0,(IF($C142=$BI$7,(-FV(InflationRate,$BI$7,,$D142)),0)),0)</f>
        <v>0</v>
      </c>
      <c r="BJ142" s="150">
        <f>IF($C142&gt;0,(IF($BI$7&gt;=$C142+1, (-FV(InflationRate,$BI$7,,$E142)), 0)),0)</f>
        <v>0</v>
      </c>
      <c r="BK142" s="150">
        <f>IF($C142&gt;0,(IF($BI$7&gt;=$C142+1, (-FV(InflationRate,$BI$7,,$F142)), 0)),0)</f>
        <v>0</v>
      </c>
      <c r="BL142" s="176">
        <f>IF($C142&gt;0,(IF($BI$7&gt;=$C142+1, (-FV(InflationRate,$BI$7,,$G142)), 0)),0)</f>
        <v>0</v>
      </c>
      <c r="BM142" s="168">
        <f>IF($C142&gt;0,(IF($C142=$BM$7,(-FV(InflationRate,$BM$7,,$D142)),0)),0)</f>
        <v>0</v>
      </c>
      <c r="BN142" s="149">
        <f>IF($C142&gt;0,(IF($BM$7&gt;=$C142+1, (-FV(InflationRate,$BM$7,,$E142)), 0)),0)</f>
        <v>0</v>
      </c>
      <c r="BO142" s="149">
        <f>IF($C142&gt;0,(IF($BM$7&gt;=$C142+1, (-FV(InflationRate,$BM$7,,$F142)), 0)),0)</f>
        <v>0</v>
      </c>
      <c r="BP142" s="157">
        <f>IF($C142&gt;0,(IF($BM$7&gt;=$C142+1, (-FV(InflationRate,$BM$7,,$G142)), 0)),0)</f>
        <v>0</v>
      </c>
      <c r="BQ142" s="160">
        <f>IF($C142&gt;0,(IF($C142=$BQ$7,(-FV(InflationRate,$BQ$7,,$D142)),0)),0)</f>
        <v>0</v>
      </c>
      <c r="BR142" s="150">
        <f>IF($C142&gt;0,(IF($BQ$7&gt;=$C142+1, (-FV(InflationRate,$BQ$7,,$E142)), 0)),0)</f>
        <v>0</v>
      </c>
      <c r="BS142" s="150">
        <f>IF($C142&gt;0,(IF($BQ$7&gt;=$C142+1, (-FV(InflationRate,$BQ$7,,$F142)), 0)),0)</f>
        <v>0</v>
      </c>
      <c r="BT142" s="176">
        <f>IF($C142&gt;0,(IF($BQ$7&gt;=$C142+1, (-FV(InflationRate,$BQ$7,,$G142)), 0)),0)</f>
        <v>0</v>
      </c>
      <c r="BU142" s="168">
        <f>IF($C142&gt;0,(IF($C142=$BU$7,(-FV(InflationRate,$BU$7,,$D142)),0)),0)</f>
        <v>0</v>
      </c>
      <c r="BV142" s="149">
        <f>IF($C142&gt;0,(IF($BU$7&gt;=$C142+1, (-FV(InflationRate,$BU$7,,$E142)), 0)),0)</f>
        <v>0</v>
      </c>
      <c r="BW142" s="149">
        <f>IF($C142&gt;0,(IF($BU$7&gt;=$C142+1, (-FV(InflationRate,$BU$7,,$F142)), 0)),0)</f>
        <v>0</v>
      </c>
      <c r="BX142" s="157">
        <f>IF($C142&gt;0,(IF($BU$7&gt;=$C142+1, (-FV(InflationRate,$BU$7,,$G142)), 0)),0)</f>
        <v>0</v>
      </c>
      <c r="BY142" s="160">
        <f>IF($C142&gt;0,(IF($C142=$BY$7,(-FV(InflationRate,$BY$7,,$D142)),0)),0)</f>
        <v>0</v>
      </c>
      <c r="BZ142" s="150">
        <f>IF($C142&gt;0,(IF($BY$7&gt;=$C142+1, (-FV(InflationRate,$BY$7,,$E142)), 0)),0)</f>
        <v>0</v>
      </c>
      <c r="CA142" s="150">
        <f>IF($C142&gt;0,(IF($BY$7&gt;=$C142+1, (-FV(InflationRate,$BY$7,,$F142)), 0)),0)</f>
        <v>0</v>
      </c>
      <c r="CB142" s="176">
        <f>IF($C142&gt;0,(IF($BY$7&gt;=$C142+1, (-FV(InflationRate,$BY$7,,$G142)), 0)),0)</f>
        <v>0</v>
      </c>
      <c r="CC142" s="168">
        <f>IF($C142&gt;0,(IF($C142=$CC$7,(-FV(InflationRate,$CC$7,,$D142)),0)),0)</f>
        <v>0</v>
      </c>
      <c r="CD142" s="149">
        <f>IF($C142&gt;0,(IF($CC$7&gt;=$C142+1, (-FV(InflationRate,$CC$7,,$E142)), 0)),0)</f>
        <v>0</v>
      </c>
      <c r="CE142" s="149">
        <f>IF($C142&gt;0,(IF($CC$7&gt;=$C142+1, (-FV(InflationRate,$CC$7,,$F142)), 0)),0)</f>
        <v>0</v>
      </c>
      <c r="CF142" s="157">
        <f>IF($C142&gt;0,(IF($CC$7&gt;=$C142+1, (-FV(InflationRate,$CC$7,,$G142)), 0)),0)</f>
        <v>0</v>
      </c>
      <c r="CG142" s="160">
        <f>IF($C142&gt;0,(IF($C142=$CG$7,(-FV(InflationRate,$CG$7,,$D142)),0)),0)</f>
        <v>0</v>
      </c>
      <c r="CH142" s="150">
        <f>IF($C142&gt;0,(IF($CG$7&gt;=$C142+1, (-FV(InflationRate,$CG$7,,$E142)), 0)),0)</f>
        <v>0</v>
      </c>
      <c r="CI142" s="150">
        <f>IF($C142&gt;0,(IF($CG$7&gt;=$C142+1, (-FV(InflationRate,$CG$7,,$F142)), 0)),0)</f>
        <v>0</v>
      </c>
      <c r="CJ142" s="176">
        <f>IF($C142&gt;0,(IF($CG$7&gt;=$C142+1, (-FV(InflationRate,$CG$7,,$G142)), 0)),0)</f>
        <v>0</v>
      </c>
      <c r="CK142" s="168">
        <f>IF($C142&gt;0,(IF($C142=$CK$7,(-FV(InflationRate,$CK$7,,$D142)),0)),0)</f>
        <v>0</v>
      </c>
      <c r="CL142" s="149">
        <f>IF($C142&gt;0,(IF($CK$7&gt;=$C142+1, (-FV(InflationRate,$CK$7,,$E142)), 0)),0)</f>
        <v>0</v>
      </c>
      <c r="CM142" s="149">
        <f>IF($C142&gt;0,(IF($CK$7&gt;=$C142+1, (-FV(InflationRate,$CK$7,,$F142)), 0)),0)</f>
        <v>0</v>
      </c>
      <c r="CN142" s="157">
        <f>IF($C142&gt;0,(IF($CK$7&gt;=$C142+1, (-FV(InflationRate,$CK$7,,$G142)), 0)),0)</f>
        <v>0</v>
      </c>
      <c r="CO142" s="160">
        <f>IF($C142&gt;0,(IF($C142=$CO$7,(-FV(InflationRate,$CO$7,,$D142)),0)),0)</f>
        <v>0</v>
      </c>
      <c r="CP142" s="150">
        <f>IF($C142&gt;0,(IF($CO$7&gt;=$C142+1, (-FV(InflationRate,$CO$7,,$E142)), 0)),0)</f>
        <v>0</v>
      </c>
      <c r="CQ142" s="150">
        <f>IF($C142&gt;0,(IF($CO$7&gt;=$C142+1, (-FV(InflationRate,$CO$7,,$F142)), 0)),0)</f>
        <v>0</v>
      </c>
      <c r="CR142" s="176">
        <f>IF($C142&gt;0,(IF($CO$7&gt;=$C142+1, (-FV(InflationRate,$CO$7,,$G142)), 0)),0)</f>
        <v>0</v>
      </c>
      <c r="CS142" s="168">
        <f>IF($C142&gt;0,(IF($C142=$CS$7,(-FV(InflationRate,$CS$7,,$D142)),0)),0)</f>
        <v>0</v>
      </c>
      <c r="CT142" s="149">
        <f>IF($C142&gt;0,(IF($CS$7&gt;=$C142+1, (-FV(InflationRate,$CS$7,,$E142)), 0)),0)</f>
        <v>0</v>
      </c>
      <c r="CU142" s="149">
        <f>IF($C142&gt;0,(IF($CS$7&gt;=$C142+1, (-FV(InflationRate,$CS$7,,$F142)), 0)),0)</f>
        <v>0</v>
      </c>
      <c r="CV142" s="157">
        <f>IF($C142&gt;0,(IF($CS$7&gt;=$C142+1, (-FV(InflationRate,$CS$7,,$G142)), 0)),0)</f>
        <v>0</v>
      </c>
      <c r="CW142" s="160">
        <f>IF($C142&gt;0,(IF($C142=$CW$7,(-FV(InflationRate,$CW$7,,$D142)),0)),0)</f>
        <v>0</v>
      </c>
      <c r="CX142" s="150">
        <f>IF($C142&gt;0,(IF($CW$7&gt;=$C142+1, (-FV(InflationRate,$CW$7,,$E142)), 0)),0)</f>
        <v>0</v>
      </c>
      <c r="CY142" s="150">
        <f>IF($C142&gt;0,(IF($CW$7&gt;=$C142+1, (-FV(InflationRate,$CW$7,,$F142)), 0)),0)</f>
        <v>0</v>
      </c>
      <c r="CZ142" s="176">
        <f>IF($C142&gt;0,(IF($CW$7&gt;=$C142+1, (-FV(InflationRate,$CW$7,,$G142)), 0)),0)</f>
        <v>0</v>
      </c>
      <c r="DA142" s="168">
        <f>IF($C142&gt;0,(IF($C142=$DA$7,(-FV(InflationRate,$DA$7,,$D142)),0)),0)</f>
        <v>0</v>
      </c>
      <c r="DB142" s="149">
        <f>IF($C142&gt;0,(IF($DA$7&gt;=$C142+1, (-FV(InflationRate,$DA$7,,$E142)), 0)),0)</f>
        <v>0</v>
      </c>
      <c r="DC142" s="149">
        <f>IF($C142&gt;0,(IF($DA$7&gt;=$C142+1, (-FV(InflationRate,$DA$7,,$F142)), 0)),0)</f>
        <v>0</v>
      </c>
      <c r="DD142" s="157">
        <f>IF($C142&gt;0,(IF($DA$7&gt;=$C142+1, (-FV(InflationRate,$DA$7,,$G142)), 0)),0)</f>
        <v>0</v>
      </c>
    </row>
    <row r="143" spans="2:108" hidden="1" x14ac:dyDescent="0.2">
      <c r="B143" s="183" t="s">
        <v>203</v>
      </c>
      <c r="C143" s="556"/>
      <c r="D143" s="168"/>
      <c r="E143" s="149"/>
      <c r="F143" s="149">
        <f>F140</f>
        <v>0</v>
      </c>
      <c r="G143" s="149"/>
      <c r="H143" s="168">
        <f>SUM(I143:AB143)</f>
        <v>0</v>
      </c>
      <c r="I143" s="610">
        <f>-PV(InterestRate,I$8,,(SUM(AC143:AF143)))</f>
        <v>0</v>
      </c>
      <c r="J143" s="610">
        <f>-PV(InterestRate,J$8,,(SUM(AG143:AJ143)))</f>
        <v>0</v>
      </c>
      <c r="K143" s="610">
        <f>-PV(InterestRate,K$8,,(SUM(AK143:AN143)))</f>
        <v>0</v>
      </c>
      <c r="L143" s="610">
        <f>-PV(InterestRate,L$8,,(SUM(AO143:AR143)))</f>
        <v>0</v>
      </c>
      <c r="M143" s="610">
        <f>-PV(InterestRate,M$8,,(SUM(AS143:AV143)))</f>
        <v>0</v>
      </c>
      <c r="N143" s="610">
        <f>-PV(InterestRate,N$8,,(SUM(AW143:AZ143)))</f>
        <v>0</v>
      </c>
      <c r="O143" s="610">
        <f>-PV(InterestRate,O$8,,(SUM(BA143:BD143)))</f>
        <v>0</v>
      </c>
      <c r="P143" s="610">
        <f>-PV(InterestRate,P$8,,(SUM(BE143:BH143)))</f>
        <v>0</v>
      </c>
      <c r="Q143" s="610">
        <f>-PV(InterestRate,Q$8,,(SUM(BI143:BL143)))</f>
        <v>0</v>
      </c>
      <c r="R143" s="610">
        <f>-PV(InterestRate,R$8,,(SUM(BM143:BP143)))</f>
        <v>0</v>
      </c>
      <c r="S143" s="610">
        <f>-PV(InterestRate,S$8,,(SUM(BQ143:BT143)))</f>
        <v>0</v>
      </c>
      <c r="T143" s="610">
        <f>-PV(InterestRate,T$8,,(SUM(BU143:BX143)))</f>
        <v>0</v>
      </c>
      <c r="U143" s="610">
        <f>-PV(InterestRate,U$8,,(SUM(BY143:CB143)))</f>
        <v>0</v>
      </c>
      <c r="V143" s="610">
        <f>-PV(InterestRate,V$8,,(SUM(CC143:CF143)))</f>
        <v>0</v>
      </c>
      <c r="W143" s="610">
        <f>-PV(InterestRate,W$8,,(SUM(CG143:CJ143)))</f>
        <v>0</v>
      </c>
      <c r="X143" s="610">
        <f>-PV(InterestRate,X$8,,(SUM(CK143:CN143)))</f>
        <v>0</v>
      </c>
      <c r="Y143" s="610">
        <f>-PV(InterestRate,Y$8,,(SUM(CO143:CR143)))</f>
        <v>0</v>
      </c>
      <c r="Z143" s="610">
        <f>-PV(InterestRate,Z$8,,(SUM(CS143:CV143)))</f>
        <v>0</v>
      </c>
      <c r="AA143" s="610">
        <f>-PV(InterestRate,AA$8,,(SUM(CW143:CZ143)))</f>
        <v>0</v>
      </c>
      <c r="AB143" s="611">
        <f>-PV(InterestRate,AB$8,,(SUM(DA143:DD143)))</f>
        <v>0</v>
      </c>
      <c r="AC143" s="160"/>
      <c r="AD143" s="150"/>
      <c r="AE143" s="150"/>
      <c r="AF143" s="165"/>
      <c r="AG143" s="168"/>
      <c r="AH143" s="149"/>
      <c r="AI143" s="149"/>
      <c r="AJ143" s="171"/>
      <c r="AK143" s="160"/>
      <c r="AL143" s="150"/>
      <c r="AM143" s="150"/>
      <c r="AN143" s="165"/>
      <c r="AO143" s="168">
        <f>IF($C143&gt;0,(IF($C143=$AO$7,(-FV(InflationRate,$AO$7,,$D143)),0)),0)</f>
        <v>0</v>
      </c>
      <c r="AP143" s="149">
        <f>IF($C143&gt;0,(IF($AO$7&gt;=$C143+1, (-FV(InflationRate,$AO$7,,$E143)), 0)),0)</f>
        <v>0</v>
      </c>
      <c r="AQ143" s="149">
        <f>IF($C143&gt;0,(IF($AO$7&gt;=$C143+1, (-FV(InflationRate,$AO$7,,$F143)), 0)),0)</f>
        <v>0</v>
      </c>
      <c r="AR143" s="157">
        <f>IF($C143&gt;0,(IF($AO$7&gt;=$C143+1, (-FV(InflationRate,$AO$7,,$G143)), 0)),0)</f>
        <v>0</v>
      </c>
      <c r="AS143" s="160">
        <f>IF($C143&gt;0,(IF($C143=$AS$7,(-FV(InflationRate,$AS$7,,$D143)),0)),0)</f>
        <v>0</v>
      </c>
      <c r="AT143" s="150">
        <f>IF($C143&gt;0,(IF($AS$7&gt;=$C143+1, (-FV(InflationRate,$AS$7,,$E143)), 0)),0)</f>
        <v>0</v>
      </c>
      <c r="AU143" s="150">
        <f>IF($C143&gt;0,(IF($AS$7&gt;=$C143+1, (-FV(InflationRate,$AS$7,,$F143)), 0)),0)</f>
        <v>0</v>
      </c>
      <c r="AV143" s="165">
        <f>IF($C143&gt;0,(IF($AS$7&gt;=$C143+1, (-FV(InflationRate,$AS$7,,$G143)), 0)),0)</f>
        <v>0</v>
      </c>
      <c r="AW143" s="168">
        <f>IF($C143&gt;0,(IF($C143=$AW$7,(-FV(InflationRate,$AW$7,,$D143)),0)),0)</f>
        <v>0</v>
      </c>
      <c r="AX143" s="149">
        <f>IF($C143&gt;0,(IF($AW$7&gt;=$C143+1, (-FV(InflationRate,$AW$7,,$E143)), 0)),0)</f>
        <v>0</v>
      </c>
      <c r="AY143" s="149">
        <f>IF($C143&gt;0,(IF($AW$7&gt;=$C143+1, (-FV(InflationRate,$AW$7,,$F143)), 0)),0)</f>
        <v>0</v>
      </c>
      <c r="AZ143" s="157">
        <f>IF($C143&gt;0,(IF($AW$7&gt;=$C143+1, (-FV(InflationRate,$AW$7,,$G143)), 0)),0)</f>
        <v>0</v>
      </c>
      <c r="BA143" s="160">
        <f>IF($C143&gt;0,(IF($C143=$BA$7,(-FV(InflationRate,$BA$7,,$D143)),0)),0)</f>
        <v>0</v>
      </c>
      <c r="BB143" s="150">
        <f>IF($C143&gt;0,(IF($BA$7&gt;=$C143+1, (-FV(InflationRate,$BA$7,,$E143)), 0)),0)</f>
        <v>0</v>
      </c>
      <c r="BC143" s="150">
        <f>IF($C143&gt;0,(IF($BA$7&gt;=$C143+1, (-FV(InflationRate,$BA$7,,$F143)), 0)),0)</f>
        <v>0</v>
      </c>
      <c r="BD143" s="176">
        <f>IF($C143&gt;0,(IF($BA$7&gt;=$C143+1, (-FV(InflationRate,$BA$7,,$G143)), 0)),0)</f>
        <v>0</v>
      </c>
      <c r="BE143" s="168">
        <f>IF($C143&gt;0,(IF($C143=$BE$7,(-FV(InflationRate,$BE$7,,$D143)),0)),0)</f>
        <v>0</v>
      </c>
      <c r="BF143" s="149">
        <f>IF($C143&gt;0,(IF($BE$7&gt;=$C143+1, (-FV(InflationRate,$BE$7,,$E143)), 0)),0)</f>
        <v>0</v>
      </c>
      <c r="BG143" s="149">
        <f>IF($C143&gt;0,(IF($BE$7&gt;=$C143+1, (-FV(InflationRate,$BE$7,,$F143)), 0)),0)</f>
        <v>0</v>
      </c>
      <c r="BH143" s="171">
        <f>IF($C143&gt;0,(IF($BE$7&gt;=$C143+1, (-FV(InflationRate,$BE$7,,$G143)), 0)),0)</f>
        <v>0</v>
      </c>
      <c r="BI143" s="160">
        <f>IF($C143&gt;0,(IF($C143=$BI$7,(-FV(InflationRate,$BI$7,,$D143)),0)),0)</f>
        <v>0</v>
      </c>
      <c r="BJ143" s="150">
        <f>IF($C143&gt;0,(IF($BI$7&gt;=$C143+1, (-FV(InflationRate,$BI$7,,$E143)), 0)),0)</f>
        <v>0</v>
      </c>
      <c r="BK143" s="150">
        <f>IF($C143&gt;0,(IF($BI$7&gt;=$C143+1, (-FV(InflationRate,$BI$7,,$F143)), 0)),0)</f>
        <v>0</v>
      </c>
      <c r="BL143" s="176">
        <f>IF($C143&gt;0,(IF($BI$7&gt;=$C143+1, (-FV(InflationRate,$BI$7,,$G143)), 0)),0)</f>
        <v>0</v>
      </c>
      <c r="BM143" s="168">
        <f>IF($C143&gt;0,(IF($C143=$BM$7,(-FV(InflationRate,$BM$7,,$D143)),0)),0)</f>
        <v>0</v>
      </c>
      <c r="BN143" s="149">
        <f>IF($C143&gt;0,(IF($BM$7&gt;=$C143+1, (-FV(InflationRate,$BM$7,,$E143)), 0)),0)</f>
        <v>0</v>
      </c>
      <c r="BO143" s="149">
        <f>IF($C143&gt;0,(IF($BM$7&gt;=$C143+1, (-FV(InflationRate,$BM$7,,$F143)), 0)),0)</f>
        <v>0</v>
      </c>
      <c r="BP143" s="157">
        <f>IF($C143&gt;0,(IF($BM$7&gt;=$C143+1, (-FV(InflationRate,$BM$7,,$G143)), 0)),0)</f>
        <v>0</v>
      </c>
      <c r="BQ143" s="160">
        <f>IF($C143&gt;0,(IF($C143=$BQ$7,(-FV(InflationRate,$BQ$7,,$D143)),0)),0)</f>
        <v>0</v>
      </c>
      <c r="BR143" s="150">
        <f>IF($C143&gt;0,(IF($BQ$7&gt;=$C143+1, (-FV(InflationRate,$BQ$7,,$E143)), 0)),0)</f>
        <v>0</v>
      </c>
      <c r="BS143" s="150">
        <f>IF($C143&gt;0,(IF($BQ$7&gt;=$C143+1, (-FV(InflationRate,$BQ$7,,$F143)), 0)),0)</f>
        <v>0</v>
      </c>
      <c r="BT143" s="176">
        <f>IF($C143&gt;0,(IF($BQ$7&gt;=$C143+1, (-FV(InflationRate,$BQ$7,,$G143)), 0)),0)</f>
        <v>0</v>
      </c>
      <c r="BU143" s="168">
        <f>IF($C143&gt;0,(IF($C143=$BU$7,(-FV(InflationRate,$BU$7,,$D143)),0)),0)</f>
        <v>0</v>
      </c>
      <c r="BV143" s="149">
        <f>IF($C143&gt;0,(IF($BU$7&gt;=$C143+1, (-FV(InflationRate,$BU$7,,$E143)), 0)),0)</f>
        <v>0</v>
      </c>
      <c r="BW143" s="149">
        <f>IF($C143&gt;0,(IF($BU$7&gt;=$C143+1, (-FV(InflationRate,$BU$7,,$F143)), 0)),0)</f>
        <v>0</v>
      </c>
      <c r="BX143" s="157">
        <f>IF($C143&gt;0,(IF($BU$7&gt;=$C143+1, (-FV(InflationRate,$BU$7,,$G143)), 0)),0)</f>
        <v>0</v>
      </c>
      <c r="BY143" s="160">
        <f>IF($C143&gt;0,(IF($C143=$BY$7,(-FV(InflationRate,$BY$7,,$D143)),0)),0)</f>
        <v>0</v>
      </c>
      <c r="BZ143" s="150">
        <f>IF($C143&gt;0,(IF($BY$7&gt;=$C143+1, (-FV(InflationRate,$BY$7,,$E143)), 0)),0)</f>
        <v>0</v>
      </c>
      <c r="CA143" s="150">
        <f>IF($C143&gt;0,(IF($BY$7&gt;=$C143+1, (-FV(InflationRate,$BY$7,,$F143)), 0)),0)</f>
        <v>0</v>
      </c>
      <c r="CB143" s="176">
        <f>IF($C143&gt;0,(IF($BY$7&gt;=$C143+1, (-FV(InflationRate,$BY$7,,$G143)), 0)),0)</f>
        <v>0</v>
      </c>
      <c r="CC143" s="168">
        <f>IF($C143&gt;0,(IF($C143=$CC$7,(-FV(InflationRate,$CC$7,,$D143)),0)),0)</f>
        <v>0</v>
      </c>
      <c r="CD143" s="149">
        <f>IF($C143&gt;0,(IF($CC$7&gt;=$C143+1, (-FV(InflationRate,$CC$7,,$E143)), 0)),0)</f>
        <v>0</v>
      </c>
      <c r="CE143" s="149">
        <f>IF($C143&gt;0,(IF($CC$7&gt;=$C143+1, (-FV(InflationRate,$CC$7,,$F143)), 0)),0)</f>
        <v>0</v>
      </c>
      <c r="CF143" s="157">
        <f>IF($C143&gt;0,(IF($CC$7&gt;=$C143+1, (-FV(InflationRate,$CC$7,,$G143)), 0)),0)</f>
        <v>0</v>
      </c>
      <c r="CG143" s="160">
        <f>IF($C143&gt;0,(IF($C143=$CG$7,(-FV(InflationRate,$CG$7,,$D143)),0)),0)</f>
        <v>0</v>
      </c>
      <c r="CH143" s="150">
        <f>IF($C143&gt;0,(IF($CG$7&gt;=$C143+1, (-FV(InflationRate,$CG$7,,$E143)), 0)),0)</f>
        <v>0</v>
      </c>
      <c r="CI143" s="150">
        <f>IF($C143&gt;0,(IF($CG$7&gt;=$C143+1, (-FV(InflationRate,$CG$7,,$F143)), 0)),0)</f>
        <v>0</v>
      </c>
      <c r="CJ143" s="176">
        <f>IF($C143&gt;0,(IF($CG$7&gt;=$C143+1, (-FV(InflationRate,$CG$7,,$G143)), 0)),0)</f>
        <v>0</v>
      </c>
      <c r="CK143" s="168">
        <f>IF($C143&gt;0,(IF($C143=$CK$7,(-FV(InflationRate,$CK$7,,$D143)),0)),0)</f>
        <v>0</v>
      </c>
      <c r="CL143" s="149">
        <f>IF($C143&gt;0,(IF($CK$7&gt;=$C143+1, (-FV(InflationRate,$CK$7,,$E143)), 0)),0)</f>
        <v>0</v>
      </c>
      <c r="CM143" s="149">
        <f>IF($C143&gt;0,(IF($CK$7&gt;=$C143+1, (-FV(InflationRate,$CK$7,,$F143)), 0)),0)</f>
        <v>0</v>
      </c>
      <c r="CN143" s="157">
        <f>IF($C143&gt;0,(IF($CK$7&gt;=$C143+1, (-FV(InflationRate,$CK$7,,$G143)), 0)),0)</f>
        <v>0</v>
      </c>
      <c r="CO143" s="160">
        <f>IF($C143&gt;0,(IF($C143=$CO$7,(-FV(InflationRate,$CO$7,,$D143)),0)),0)</f>
        <v>0</v>
      </c>
      <c r="CP143" s="150">
        <f>IF($C143&gt;0,(IF($CO$7&gt;=$C143+1, (-FV(InflationRate,$CO$7,,$E143)), 0)),0)</f>
        <v>0</v>
      </c>
      <c r="CQ143" s="150">
        <f>IF($C143&gt;0,(IF($CO$7&gt;=$C143+1, (-FV(InflationRate,$CO$7,,$F143)), 0)),0)</f>
        <v>0</v>
      </c>
      <c r="CR143" s="176">
        <f>IF($C143&gt;0,(IF($CO$7&gt;=$C143+1, (-FV(InflationRate,$CO$7,,$G143)), 0)),0)</f>
        <v>0</v>
      </c>
      <c r="CS143" s="168">
        <f>IF($C143&gt;0,(IF($C143=$CS$7,(-FV(InflationRate,$CS$7,,$D143)),0)),0)</f>
        <v>0</v>
      </c>
      <c r="CT143" s="149">
        <f>IF($C143&gt;0,(IF($CS$7&gt;=$C143+1, (-FV(InflationRate,$CS$7,,$E143)), 0)),0)</f>
        <v>0</v>
      </c>
      <c r="CU143" s="149">
        <f>IF($C143&gt;0,(IF($CS$7&gt;=$C143+1, (-FV(InflationRate,$CS$7,,$F143)), 0)),0)</f>
        <v>0</v>
      </c>
      <c r="CV143" s="157">
        <f>IF($C143&gt;0,(IF($CS$7&gt;=$C143+1, (-FV(InflationRate,$CS$7,,$G143)), 0)),0)</f>
        <v>0</v>
      </c>
      <c r="CW143" s="160">
        <f>IF($C143&gt;0,(IF($C143=$CW$7,(-FV(InflationRate,$CW$7,,$D143)),0)),0)</f>
        <v>0</v>
      </c>
      <c r="CX143" s="150">
        <f>IF($C143&gt;0,(IF($CW$7&gt;=$C143+1, (-FV(InflationRate,$CW$7,,$E143)), 0)),0)</f>
        <v>0</v>
      </c>
      <c r="CY143" s="150">
        <f>IF($C143&gt;0,(IF($CW$7&gt;=$C143+1, (-FV(InflationRate,$CW$7,,$F143)), 0)),0)</f>
        <v>0</v>
      </c>
      <c r="CZ143" s="176">
        <f>IF($C143&gt;0,(IF($CW$7&gt;=$C143+1, (-FV(InflationRate,$CW$7,,$G143)), 0)),0)</f>
        <v>0</v>
      </c>
      <c r="DA143" s="168">
        <f>IF($C143&gt;0,(IF($C143=$DA$7,(-FV(InflationRate,$DA$7,,$D143)),0)),0)</f>
        <v>0</v>
      </c>
      <c r="DB143" s="149">
        <f>IF($C143&gt;0,(IF($DA$7&gt;=$C143+1, (-FV(InflationRate,$DA$7,,$E143)), 0)),0)</f>
        <v>0</v>
      </c>
      <c r="DC143" s="149">
        <f>IF($C143&gt;0,(IF($DA$7&gt;=$C143+1, (-FV(InflationRate,$DA$7,,$F143)), 0)),0)</f>
        <v>0</v>
      </c>
      <c r="DD143" s="157">
        <f>IF($C143&gt;0,(IF($DA$7&gt;=$C143+1, (-FV(InflationRate,$DA$7,,$G143)), 0)),0)</f>
        <v>0</v>
      </c>
    </row>
    <row r="144" spans="2:108" ht="12" hidden="1" customHeight="1" x14ac:dyDescent="0.2">
      <c r="B144" s="183"/>
      <c r="C144" s="189"/>
      <c r="D144" s="168"/>
      <c r="E144" s="149"/>
      <c r="F144" s="149"/>
      <c r="G144" s="149"/>
      <c r="H144" s="168"/>
      <c r="I144" s="600"/>
      <c r="J144" s="600"/>
      <c r="K144" s="600"/>
      <c r="L144" s="600"/>
      <c r="M144" s="600"/>
      <c r="N144" s="600"/>
      <c r="O144" s="600"/>
      <c r="P144" s="600"/>
      <c r="Q144" s="600"/>
      <c r="R144" s="600"/>
      <c r="S144" s="600"/>
      <c r="T144" s="600"/>
      <c r="U144" s="600"/>
      <c r="V144" s="600"/>
      <c r="W144" s="600"/>
      <c r="X144" s="600"/>
      <c r="Y144" s="600"/>
      <c r="Z144" s="600"/>
      <c r="AA144" s="600"/>
      <c r="AB144" s="601"/>
      <c r="AC144" s="160"/>
      <c r="AD144" s="150"/>
      <c r="AE144" s="150"/>
      <c r="AF144" s="165"/>
      <c r="AG144" s="168"/>
      <c r="AH144" s="149"/>
      <c r="AI144" s="149"/>
      <c r="AJ144" s="171"/>
      <c r="AK144" s="160"/>
      <c r="AL144" s="150"/>
      <c r="AM144" s="150"/>
      <c r="AN144" s="165"/>
      <c r="AO144" s="168"/>
      <c r="AP144" s="149"/>
      <c r="AQ144" s="149"/>
      <c r="AR144" s="157"/>
      <c r="AS144" s="160"/>
      <c r="AT144" s="150"/>
      <c r="AU144" s="150"/>
      <c r="AV144" s="165"/>
      <c r="AW144" s="168"/>
      <c r="AX144" s="149"/>
      <c r="AY144" s="149"/>
      <c r="AZ144" s="157"/>
      <c r="BA144" s="160"/>
      <c r="BB144" s="150"/>
      <c r="BC144" s="150"/>
      <c r="BD144" s="176"/>
      <c r="BE144" s="168"/>
      <c r="BF144" s="149"/>
      <c r="BG144" s="149"/>
      <c r="BH144" s="171"/>
      <c r="BI144" s="160"/>
      <c r="BJ144" s="150"/>
      <c r="BK144" s="150"/>
      <c r="BL144" s="176"/>
      <c r="BM144" s="168"/>
      <c r="BN144" s="149"/>
      <c r="BO144" s="149"/>
      <c r="BP144" s="157"/>
      <c r="BQ144" s="160"/>
      <c r="BR144" s="150"/>
      <c r="BS144" s="150"/>
      <c r="BT144" s="176"/>
      <c r="BU144" s="168"/>
      <c r="BV144" s="149"/>
      <c r="BW144" s="149"/>
      <c r="BX144" s="157"/>
      <c r="BY144" s="160"/>
      <c r="BZ144" s="150"/>
      <c r="CA144" s="150"/>
      <c r="CB144" s="176"/>
      <c r="CC144" s="168"/>
      <c r="CD144" s="149"/>
      <c r="CE144" s="149"/>
      <c r="CF144" s="157"/>
      <c r="CG144" s="160"/>
      <c r="CH144" s="150"/>
      <c r="CI144" s="150"/>
      <c r="CJ144" s="176"/>
      <c r="CK144" s="168"/>
      <c r="CL144" s="149"/>
      <c r="CM144" s="149"/>
      <c r="CN144" s="157"/>
      <c r="CO144" s="160"/>
      <c r="CP144" s="150"/>
      <c r="CQ144" s="150"/>
      <c r="CR144" s="176"/>
      <c r="CS144" s="168"/>
      <c r="CT144" s="149"/>
      <c r="CU144" s="149"/>
      <c r="CV144" s="157"/>
      <c r="CW144" s="160"/>
      <c r="CX144" s="150"/>
      <c r="CY144" s="150"/>
      <c r="CZ144" s="176"/>
      <c r="DA144" s="168"/>
      <c r="DB144" s="149"/>
      <c r="DC144" s="149"/>
      <c r="DD144" s="157"/>
    </row>
    <row r="145" spans="2:108" ht="12" hidden="1" customHeight="1" x14ac:dyDescent="0.2">
      <c r="B145" s="182" t="str">
        <f>'FCW - S3'!B5</f>
        <v>Floating Constructed Wetlands - Site 3</v>
      </c>
      <c r="C145" s="189"/>
      <c r="D145" s="194">
        <f>'FCW - S3'!F34</f>
        <v>0</v>
      </c>
      <c r="E145" s="195">
        <f>'FCW - S3'!F63</f>
        <v>0</v>
      </c>
      <c r="F145" s="195">
        <f>'FCW - S3'!F94</f>
        <v>0</v>
      </c>
      <c r="G145" s="195">
        <f>'FCW - S3'!F123</f>
        <v>0</v>
      </c>
      <c r="H145" s="168"/>
      <c r="I145" s="600"/>
      <c r="J145" s="600"/>
      <c r="K145" s="600"/>
      <c r="L145" s="600"/>
      <c r="M145" s="600"/>
      <c r="N145" s="600"/>
      <c r="O145" s="600"/>
      <c r="P145" s="600"/>
      <c r="Q145" s="600"/>
      <c r="R145" s="600"/>
      <c r="S145" s="600"/>
      <c r="T145" s="600"/>
      <c r="U145" s="600"/>
      <c r="V145" s="600"/>
      <c r="W145" s="600"/>
      <c r="X145" s="600"/>
      <c r="Y145" s="600"/>
      <c r="Z145" s="600"/>
      <c r="AA145" s="600"/>
      <c r="AB145" s="601"/>
      <c r="AC145" s="160"/>
      <c r="AD145" s="150"/>
      <c r="AE145" s="150"/>
      <c r="AF145" s="165"/>
      <c r="AG145" s="168"/>
      <c r="AH145" s="149"/>
      <c r="AI145" s="149"/>
      <c r="AJ145" s="171"/>
      <c r="AK145" s="160"/>
      <c r="AL145" s="150"/>
      <c r="AM145" s="150"/>
      <c r="AN145" s="165"/>
      <c r="AO145" s="168"/>
      <c r="AP145" s="149"/>
      <c r="AQ145" s="149"/>
      <c r="AR145" s="157"/>
      <c r="AS145" s="160"/>
      <c r="AT145" s="150"/>
      <c r="AU145" s="150"/>
      <c r="AV145" s="165"/>
      <c r="AW145" s="168"/>
      <c r="AX145" s="149"/>
      <c r="AY145" s="149"/>
      <c r="AZ145" s="157"/>
      <c r="BA145" s="160"/>
      <c r="BB145" s="150"/>
      <c r="BC145" s="150"/>
      <c r="BD145" s="176"/>
      <c r="BE145" s="168"/>
      <c r="BF145" s="149"/>
      <c r="BG145" s="149"/>
      <c r="BH145" s="171"/>
      <c r="BI145" s="160"/>
      <c r="BJ145" s="150"/>
      <c r="BK145" s="150"/>
      <c r="BL145" s="176"/>
      <c r="BM145" s="168"/>
      <c r="BN145" s="149"/>
      <c r="BO145" s="149"/>
      <c r="BP145" s="157"/>
      <c r="BQ145" s="160"/>
      <c r="BR145" s="150"/>
      <c r="BS145" s="150"/>
      <c r="BT145" s="176"/>
      <c r="BU145" s="168"/>
      <c r="BV145" s="149"/>
      <c r="BW145" s="149"/>
      <c r="BX145" s="157"/>
      <c r="BY145" s="160"/>
      <c r="BZ145" s="150"/>
      <c r="CA145" s="150"/>
      <c r="CB145" s="176"/>
      <c r="CC145" s="168"/>
      <c r="CD145" s="149"/>
      <c r="CE145" s="149"/>
      <c r="CF145" s="157"/>
      <c r="CG145" s="160"/>
      <c r="CH145" s="150"/>
      <c r="CI145" s="150"/>
      <c r="CJ145" s="176"/>
      <c r="CK145" s="168"/>
      <c r="CL145" s="149"/>
      <c r="CM145" s="149"/>
      <c r="CN145" s="157"/>
      <c r="CO145" s="160"/>
      <c r="CP145" s="150"/>
      <c r="CQ145" s="150"/>
      <c r="CR145" s="176"/>
      <c r="CS145" s="168"/>
      <c r="CT145" s="149"/>
      <c r="CU145" s="149"/>
      <c r="CV145" s="157"/>
      <c r="CW145" s="160"/>
      <c r="CX145" s="150"/>
      <c r="CY145" s="150"/>
      <c r="CZ145" s="176"/>
      <c r="DA145" s="168"/>
      <c r="DB145" s="149"/>
      <c r="DC145" s="149"/>
      <c r="DD145" s="157"/>
    </row>
    <row r="146" spans="2:108" ht="12" hidden="1" customHeight="1" x14ac:dyDescent="0.2">
      <c r="B146" s="183" t="s">
        <v>220</v>
      </c>
      <c r="C146" s="556"/>
      <c r="D146" s="168">
        <f>'FCW - S3'!F31+'FCW - S3'!F32</f>
        <v>0</v>
      </c>
      <c r="E146" s="149"/>
      <c r="F146" s="149"/>
      <c r="G146" s="149"/>
      <c r="H146" s="168">
        <f>SUM(I146:AB146)</f>
        <v>0</v>
      </c>
      <c r="I146" s="610">
        <f>-PV(InterestRate,I$8,,(SUM(AC146:AF146)))</f>
        <v>0</v>
      </c>
      <c r="J146" s="610">
        <f>-PV(InterestRate,J$8,,(SUM(AG146:AJ146)))</f>
        <v>0</v>
      </c>
      <c r="K146" s="610">
        <f>-PV(InterestRate,K$8,,(SUM(AK146:AN146)))</f>
        <v>0</v>
      </c>
      <c r="L146" s="610">
        <f>-PV(InterestRate,L$8,,(SUM(AO146:AR146)))</f>
        <v>0</v>
      </c>
      <c r="M146" s="610">
        <f>-PV(InterestRate,M$8,,(SUM(AS146:AV146)))</f>
        <v>0</v>
      </c>
      <c r="N146" s="610">
        <f>-PV(InterestRate,N$8,,(SUM(AW146:AZ146)))</f>
        <v>0</v>
      </c>
      <c r="O146" s="610">
        <f>-PV(InterestRate,O$8,,(SUM(BA146:BD146)))</f>
        <v>0</v>
      </c>
      <c r="P146" s="610">
        <f>-PV(InterestRate,P$8,,(SUM(BE146:BH146)))</f>
        <v>0</v>
      </c>
      <c r="Q146" s="610">
        <f>-PV(InterestRate,Q$8,,(SUM(BI146:BL146)))</f>
        <v>0</v>
      </c>
      <c r="R146" s="610">
        <f>-PV(InterestRate,R$8,,(SUM(BM146:BP146)))</f>
        <v>0</v>
      </c>
      <c r="S146" s="610">
        <f>-PV(InterestRate,S$8,,(SUM(BQ146:BT146)))</f>
        <v>0</v>
      </c>
      <c r="T146" s="610">
        <f>-PV(InterestRate,T$8,,(SUM(BU146:BX146)))</f>
        <v>0</v>
      </c>
      <c r="U146" s="610">
        <f>-PV(InterestRate,U$8,,(SUM(BY146:CB146)))</f>
        <v>0</v>
      </c>
      <c r="V146" s="610">
        <f>-PV(InterestRate,V$8,,(SUM(CC146:CF146)))</f>
        <v>0</v>
      </c>
      <c r="W146" s="610">
        <f>-PV(InterestRate,W$8,,(SUM(CG146:CJ146)))</f>
        <v>0</v>
      </c>
      <c r="X146" s="610">
        <f>-PV(InterestRate,X$8,,(SUM(CK146:CN146)))</f>
        <v>0</v>
      </c>
      <c r="Y146" s="610">
        <f>-PV(InterestRate,Y$8,,(SUM(CO146:CR146)))</f>
        <v>0</v>
      </c>
      <c r="Z146" s="610">
        <f>-PV(InterestRate,Z$8,,(SUM(CS146:CV146)))</f>
        <v>0</v>
      </c>
      <c r="AA146" s="610">
        <f>-PV(InterestRate,AA$8,,(SUM(CW146:CZ146)))</f>
        <v>0</v>
      </c>
      <c r="AB146" s="611">
        <f>-PV(InterestRate,AB$8,,(SUM(DA146:DD146)))</f>
        <v>0</v>
      </c>
      <c r="AC146" s="160"/>
      <c r="AD146" s="150"/>
      <c r="AE146" s="150"/>
      <c r="AF146" s="165"/>
      <c r="AG146" s="168"/>
      <c r="AH146" s="149"/>
      <c r="AI146" s="149"/>
      <c r="AJ146" s="171"/>
      <c r="AK146" s="160"/>
      <c r="AL146" s="150"/>
      <c r="AM146" s="150"/>
      <c r="AN146" s="165"/>
      <c r="AO146" s="168">
        <f>IF($C146&gt;0,(IF($C146=$AO$7,(-FV(InflationRate,$AO$7,,$D146)),0)),0)</f>
        <v>0</v>
      </c>
      <c r="AP146" s="149">
        <f>IF($C146&gt;0,(IF($AO$7&gt;=$C146+1, (-FV(InflationRate,$AO$7,,$E146)), 0)),0)</f>
        <v>0</v>
      </c>
      <c r="AQ146" s="149">
        <f>IF($C146&gt;0,(IF($AO$7&gt;=$C146+1, (-FV(InflationRate,$AO$7,,$F146)), 0)),0)</f>
        <v>0</v>
      </c>
      <c r="AR146" s="157">
        <f>IF($C146&gt;0,(IF($AO$7&gt;=$C146+1, (-FV(InflationRate,$AO$7,,$G146)), 0)),0)</f>
        <v>0</v>
      </c>
      <c r="AS146" s="160">
        <f>IF($C146&gt;0,(IF($C146=$AS$7,(-FV(InflationRate,$AS$7,,$D146)),0)),0)</f>
        <v>0</v>
      </c>
      <c r="AT146" s="150">
        <f>IF($C146&gt;0,(IF($AS$7&gt;=$C146+1, (-FV(InflationRate,$AS$7,,$E146)), 0)),0)</f>
        <v>0</v>
      </c>
      <c r="AU146" s="150">
        <f>IF($C146&gt;0,(IF($AS$7&gt;=$C146+1, (-FV(InflationRate,$AS$7,,$F146)), 0)),0)</f>
        <v>0</v>
      </c>
      <c r="AV146" s="165">
        <f>IF($C146&gt;0,(IF($AS$7&gt;=$C146+1, (-FV(InflationRate,$AS$7,,$G146)), 0)),0)</f>
        <v>0</v>
      </c>
      <c r="AW146" s="168">
        <f>IF($C146&gt;0,(IF($C146=$AW$7,(-FV(InflationRate,$AW$7,,$D146)),0)),0)</f>
        <v>0</v>
      </c>
      <c r="AX146" s="149">
        <f>IF($C146&gt;0,(IF($AW$7&gt;=$C146+1, (-FV(InflationRate,$AW$7,,$E146)), 0)),0)</f>
        <v>0</v>
      </c>
      <c r="AY146" s="149">
        <f>IF($C146&gt;0,(IF($AW$7&gt;=$C146+1, (-FV(InflationRate,$AW$7,,$F146)), 0)),0)</f>
        <v>0</v>
      </c>
      <c r="AZ146" s="157">
        <f>IF($C146&gt;0,(IF($AW$7&gt;=$C146+1, (-FV(InflationRate,$AW$7,,$G146)), 0)),0)</f>
        <v>0</v>
      </c>
      <c r="BA146" s="160">
        <f>IF($C146&gt;0,(IF($C146=$BA$7,(-FV(InflationRate,$BA$7,,$D146)),0)),0)</f>
        <v>0</v>
      </c>
      <c r="BB146" s="150">
        <f>IF($C146&gt;0,(IF($BA$7&gt;=$C146+1, (-FV(InflationRate,$BA$7,,$E146)), 0)),0)</f>
        <v>0</v>
      </c>
      <c r="BC146" s="150">
        <f>IF($C146&gt;0,(IF($BA$7&gt;=$C146+1, (-FV(InflationRate,$BA$7,,$F146)), 0)),0)</f>
        <v>0</v>
      </c>
      <c r="BD146" s="176">
        <f>IF($C146&gt;0,(IF($BA$7&gt;=$C146+1, (-FV(InflationRate,$BA$7,,$G146)), 0)),0)</f>
        <v>0</v>
      </c>
      <c r="BE146" s="168">
        <f>IF($C146&gt;0,(IF($C146=$BE$7,(-FV(InflationRate,$BE$7,,$D146)),0)),0)</f>
        <v>0</v>
      </c>
      <c r="BF146" s="149">
        <f>IF($C146&gt;0,(IF($BE$7&gt;=$C146+1, (-FV(InflationRate,$BE$7,,$E146)), 0)),0)</f>
        <v>0</v>
      </c>
      <c r="BG146" s="149">
        <f>IF($C146&gt;0,(IF($BE$7&gt;=$C146+1, (-FV(InflationRate,$BE$7,,$F146)), 0)),0)</f>
        <v>0</v>
      </c>
      <c r="BH146" s="171">
        <f>IF($C146&gt;0,(IF($BE$7&gt;=$C146+1, (-FV(InflationRate,$BE$7,,$G146)), 0)),0)</f>
        <v>0</v>
      </c>
      <c r="BI146" s="160">
        <f>IF($C146&gt;0,(IF($C146=$BI$7,(-FV(InflationRate,$BI$7,,$D146)),0)),0)</f>
        <v>0</v>
      </c>
      <c r="BJ146" s="150">
        <f>IF($C146&gt;0,(IF($BI$7&gt;=$C146+1, (-FV(InflationRate,$BI$7,,$E146)), 0)),0)</f>
        <v>0</v>
      </c>
      <c r="BK146" s="150">
        <f>IF($C146&gt;0,(IF($BI$7&gt;=$C146+1, (-FV(InflationRate,$BI$7,,$F146)), 0)),0)</f>
        <v>0</v>
      </c>
      <c r="BL146" s="176">
        <f>IF($C146&gt;0,(IF($BI$7&gt;=$C146+1, (-FV(InflationRate,$BI$7,,$G146)), 0)),0)</f>
        <v>0</v>
      </c>
      <c r="BM146" s="168">
        <f>IF($C146&gt;0,(IF($C146=$BM$7,(-FV(InflationRate,$BM$7,,$D146)),0)),0)</f>
        <v>0</v>
      </c>
      <c r="BN146" s="149">
        <f>IF($C146&gt;0,(IF($BM$7&gt;=$C146+1, (-FV(InflationRate,$BM$7,,$E146)), 0)),0)</f>
        <v>0</v>
      </c>
      <c r="BO146" s="149">
        <f>IF($C146&gt;0,(IF($BM$7&gt;=$C146+1, (-FV(InflationRate,$BM$7,,$F146)), 0)),0)</f>
        <v>0</v>
      </c>
      <c r="BP146" s="157">
        <f>IF($C146&gt;0,(IF($BM$7&gt;=$C146+1, (-FV(InflationRate,$BM$7,,$G146)), 0)),0)</f>
        <v>0</v>
      </c>
      <c r="BQ146" s="160">
        <f>IF($C146&gt;0,(IF($C146=$BQ$7,(-FV(InflationRate,$BQ$7,,$D146)),0)),0)</f>
        <v>0</v>
      </c>
      <c r="BR146" s="150">
        <f>IF($C146&gt;0,(IF($BQ$7&gt;=$C146+1, (-FV(InflationRate,$BQ$7,,$E146)), 0)),0)</f>
        <v>0</v>
      </c>
      <c r="BS146" s="150">
        <f>IF($C146&gt;0,(IF($BQ$7&gt;=$C146+1, (-FV(InflationRate,$BQ$7,,$F146)), 0)),0)</f>
        <v>0</v>
      </c>
      <c r="BT146" s="176">
        <f>IF($C146&gt;0,(IF($BQ$7&gt;=$C146+1, (-FV(InflationRate,$BQ$7,,$G146)), 0)),0)</f>
        <v>0</v>
      </c>
      <c r="BU146" s="168">
        <f>IF($C146&gt;0,(IF($C146=$BU$7,(-FV(InflationRate,$BU$7,,$D146)),0)),0)</f>
        <v>0</v>
      </c>
      <c r="BV146" s="149">
        <f>IF($C146&gt;0,(IF($BU$7&gt;=$C146+1, (-FV(InflationRate,$BU$7,,$E146)), 0)),0)</f>
        <v>0</v>
      </c>
      <c r="BW146" s="149">
        <f>IF($C146&gt;0,(IF($BU$7&gt;=$C146+1, (-FV(InflationRate,$BU$7,,$F146)), 0)),0)</f>
        <v>0</v>
      </c>
      <c r="BX146" s="157">
        <f>IF($C146&gt;0,(IF($BU$7&gt;=$C146+1, (-FV(InflationRate,$BU$7,,$G146)), 0)),0)</f>
        <v>0</v>
      </c>
      <c r="BY146" s="160">
        <f>IF($C146&gt;0,(IF($C146=$BY$7,(-FV(InflationRate,$BY$7,,$D146)),0)),0)</f>
        <v>0</v>
      </c>
      <c r="BZ146" s="150">
        <f>IF($C146&gt;0,(IF($BY$7&gt;=$C146+1, (-FV(InflationRate,$BY$7,,$E146)), 0)),0)</f>
        <v>0</v>
      </c>
      <c r="CA146" s="150">
        <f>IF($C146&gt;0,(IF($BY$7&gt;=$C146+1, (-FV(InflationRate,$BY$7,,$F146)), 0)),0)</f>
        <v>0</v>
      </c>
      <c r="CB146" s="176">
        <f>IF($C146&gt;0,(IF($BY$7&gt;=$C146+1, (-FV(InflationRate,$BY$7,,$G146)), 0)),0)</f>
        <v>0</v>
      </c>
      <c r="CC146" s="168">
        <f>IF($C146&gt;0,(IF($C146=$CC$7,(-FV(InflationRate,$CC$7,,$D146)),0)),0)</f>
        <v>0</v>
      </c>
      <c r="CD146" s="149">
        <f>IF($C146&gt;0,(IF($CC$7&gt;=$C146+1, (-FV(InflationRate,$CC$7,,$E146)), 0)),0)</f>
        <v>0</v>
      </c>
      <c r="CE146" s="149">
        <f>IF($C146&gt;0,(IF($CC$7&gt;=$C146+1, (-FV(InflationRate,$CC$7,,$F146)), 0)),0)</f>
        <v>0</v>
      </c>
      <c r="CF146" s="157">
        <f>IF($C146&gt;0,(IF($CC$7&gt;=$C146+1, (-FV(InflationRate,$CC$7,,$G146)), 0)),0)</f>
        <v>0</v>
      </c>
      <c r="CG146" s="160">
        <f>IF($C146&gt;0,(IF($C146=$CG$7,(-FV(InflationRate,$CG$7,,$D146)),0)),0)</f>
        <v>0</v>
      </c>
      <c r="CH146" s="150">
        <f>IF($C146&gt;0,(IF($CG$7&gt;=$C146+1, (-FV(InflationRate,$CG$7,,$E146)), 0)),0)</f>
        <v>0</v>
      </c>
      <c r="CI146" s="150">
        <f>IF($C146&gt;0,(IF($CG$7&gt;=$C146+1, (-FV(InflationRate,$CG$7,,$F146)), 0)),0)</f>
        <v>0</v>
      </c>
      <c r="CJ146" s="176">
        <f>IF($C146&gt;0,(IF($CG$7&gt;=$C146+1, (-FV(InflationRate,$CG$7,,$G146)), 0)),0)</f>
        <v>0</v>
      </c>
      <c r="CK146" s="168">
        <f>IF($C146&gt;0,(IF($C146=$CK$7,(-FV(InflationRate,$CK$7,,$D146)),0)),0)</f>
        <v>0</v>
      </c>
      <c r="CL146" s="149">
        <f>IF($C146&gt;0,(IF($CK$7&gt;=$C146+1, (-FV(InflationRate,$CK$7,,$E146)), 0)),0)</f>
        <v>0</v>
      </c>
      <c r="CM146" s="149">
        <f>IF($C146&gt;0,(IF($CK$7&gt;=$C146+1, (-FV(InflationRate,$CK$7,,$F146)), 0)),0)</f>
        <v>0</v>
      </c>
      <c r="CN146" s="157">
        <f>IF($C146&gt;0,(IF($CK$7&gt;=$C146+1, (-FV(InflationRate,$CK$7,,$G146)), 0)),0)</f>
        <v>0</v>
      </c>
      <c r="CO146" s="160">
        <f>IF($C146&gt;0,(IF($C146=$CO$7,(-FV(InflationRate,$CO$7,,$D146)),0)),0)</f>
        <v>0</v>
      </c>
      <c r="CP146" s="150">
        <f>IF($C146&gt;0,(IF($CO$7&gt;=$C146+1, (-FV(InflationRate,$CO$7,,$E146)), 0)),0)</f>
        <v>0</v>
      </c>
      <c r="CQ146" s="150">
        <f>IF($C146&gt;0,(IF($CO$7&gt;=$C146+1, (-FV(InflationRate,$CO$7,,$F146)), 0)),0)</f>
        <v>0</v>
      </c>
      <c r="CR146" s="176">
        <f>IF($C146&gt;0,(IF($CO$7&gt;=$C146+1, (-FV(InflationRate,$CO$7,,$G146)), 0)),0)</f>
        <v>0</v>
      </c>
      <c r="CS146" s="168">
        <f>IF($C146&gt;0,(IF($C146=$CS$7,(-FV(InflationRate,$CS$7,,$D146)),0)),0)</f>
        <v>0</v>
      </c>
      <c r="CT146" s="149">
        <f>IF($C146&gt;0,(IF($CS$7&gt;=$C146+1, (-FV(InflationRate,$CS$7,,$E146)), 0)),0)</f>
        <v>0</v>
      </c>
      <c r="CU146" s="149">
        <f>IF($C146&gt;0,(IF($CS$7&gt;=$C146+1, (-FV(InflationRate,$CS$7,,$F146)), 0)),0)</f>
        <v>0</v>
      </c>
      <c r="CV146" s="157">
        <f>IF($C146&gt;0,(IF($CS$7&gt;=$C146+1, (-FV(InflationRate,$CS$7,,$G146)), 0)),0)</f>
        <v>0</v>
      </c>
      <c r="CW146" s="160">
        <f>IF($C146&gt;0,(IF($C146=$CW$7,(-FV(InflationRate,$CW$7,,$D146)),0)),0)</f>
        <v>0</v>
      </c>
      <c r="CX146" s="150">
        <f>IF($C146&gt;0,(IF($CW$7&gt;=$C146+1, (-FV(InflationRate,$CW$7,,$E146)), 0)),0)</f>
        <v>0</v>
      </c>
      <c r="CY146" s="150">
        <f>IF($C146&gt;0,(IF($CW$7&gt;=$C146+1, (-FV(InflationRate,$CW$7,,$F146)), 0)),0)</f>
        <v>0</v>
      </c>
      <c r="CZ146" s="176">
        <f>IF($C146&gt;0,(IF($CW$7&gt;=$C146+1, (-FV(InflationRate,$CW$7,,$G146)), 0)),0)</f>
        <v>0</v>
      </c>
      <c r="DA146" s="168">
        <f>IF($C146&gt;0,(IF($C146=$DA$7,(-FV(InflationRate,$DA$7,,$D146)),0)),0)</f>
        <v>0</v>
      </c>
      <c r="DB146" s="149">
        <f>IF($C146&gt;0,(IF($DA$7&gt;=$C146+1, (-FV(InflationRate,$DA$7,,$E146)), 0)),0)</f>
        <v>0</v>
      </c>
      <c r="DC146" s="149">
        <f>IF($C146&gt;0,(IF($DA$7&gt;=$C146+1, (-FV(InflationRate,$DA$7,,$F146)), 0)),0)</f>
        <v>0</v>
      </c>
      <c r="DD146" s="157">
        <f>IF($C146&gt;0,(IF($DA$7&gt;=$C146+1, (-FV(InflationRate,$DA$7,,$G146)), 0)),0)</f>
        <v>0</v>
      </c>
    </row>
    <row r="147" spans="2:108" ht="12" hidden="1" customHeight="1" x14ac:dyDescent="0.2">
      <c r="B147" s="183" t="s">
        <v>270</v>
      </c>
      <c r="C147" s="556"/>
      <c r="D147" s="168">
        <f>D145-D146</f>
        <v>0</v>
      </c>
      <c r="E147" s="149">
        <f>E145</f>
        <v>0</v>
      </c>
      <c r="F147" s="149"/>
      <c r="G147" s="149">
        <f>G145</f>
        <v>0</v>
      </c>
      <c r="H147" s="168">
        <f>SUM(I147:AB147)</f>
        <v>0</v>
      </c>
      <c r="I147" s="610">
        <f>-PV(InterestRate,I$8,,(SUM(AC147:AF147)))</f>
        <v>0</v>
      </c>
      <c r="J147" s="610">
        <f>-PV(InterestRate,J$8,,(SUM(AG147:AJ147)))</f>
        <v>0</v>
      </c>
      <c r="K147" s="610">
        <f>-PV(InterestRate,K$8,,(SUM(AK147:AN147)))</f>
        <v>0</v>
      </c>
      <c r="L147" s="610">
        <f>-PV(InterestRate,L$8,,(SUM(AO147:AR147)))</f>
        <v>0</v>
      </c>
      <c r="M147" s="610">
        <f>-PV(InterestRate,M$8,,(SUM(AS147:AV147)))</f>
        <v>0</v>
      </c>
      <c r="N147" s="610">
        <f>-PV(InterestRate,N$8,,(SUM(AW147:AZ147)))</f>
        <v>0</v>
      </c>
      <c r="O147" s="610">
        <f>-PV(InterestRate,O$8,,(SUM(BA147:BD147)))</f>
        <v>0</v>
      </c>
      <c r="P147" s="610">
        <f>-PV(InterestRate,P$8,,(SUM(BE147:BH147)))</f>
        <v>0</v>
      </c>
      <c r="Q147" s="610">
        <f>-PV(InterestRate,Q$8,,(SUM(BI147:BL147)))</f>
        <v>0</v>
      </c>
      <c r="R147" s="610">
        <f>-PV(InterestRate,R$8,,(SUM(BM147:BP147)))</f>
        <v>0</v>
      </c>
      <c r="S147" s="610">
        <f>-PV(InterestRate,S$8,,(SUM(BQ147:BT147)))</f>
        <v>0</v>
      </c>
      <c r="T147" s="610">
        <f>-PV(InterestRate,T$8,,(SUM(BU147:BX147)))</f>
        <v>0</v>
      </c>
      <c r="U147" s="610">
        <f>-PV(InterestRate,U$8,,(SUM(BY147:CB147)))</f>
        <v>0</v>
      </c>
      <c r="V147" s="610">
        <f>-PV(InterestRate,V$8,,(SUM(CC147:CF147)))</f>
        <v>0</v>
      </c>
      <c r="W147" s="610">
        <f>-PV(InterestRate,W$8,,(SUM(CG147:CJ147)))</f>
        <v>0</v>
      </c>
      <c r="X147" s="610">
        <f>-PV(InterestRate,X$8,,(SUM(CK147:CN147)))</f>
        <v>0</v>
      </c>
      <c r="Y147" s="610">
        <f>-PV(InterestRate,Y$8,,(SUM(CO147:CR147)))</f>
        <v>0</v>
      </c>
      <c r="Z147" s="610">
        <f>-PV(InterestRate,Z$8,,(SUM(CS147:CV147)))</f>
        <v>0</v>
      </c>
      <c r="AA147" s="610">
        <f>-PV(InterestRate,AA$8,,(SUM(CW147:CZ147)))</f>
        <v>0</v>
      </c>
      <c r="AB147" s="611">
        <f>-PV(InterestRate,AB$8,,(SUM(DA147:DD147)))</f>
        <v>0</v>
      </c>
      <c r="AC147" s="160"/>
      <c r="AD147" s="150"/>
      <c r="AE147" s="150"/>
      <c r="AF147" s="165"/>
      <c r="AG147" s="168"/>
      <c r="AH147" s="149"/>
      <c r="AI147" s="149"/>
      <c r="AJ147" s="171"/>
      <c r="AK147" s="160"/>
      <c r="AL147" s="150"/>
      <c r="AM147" s="150"/>
      <c r="AN147" s="165"/>
      <c r="AO147" s="168">
        <f>IF($C147&gt;0,(IF($C147=$AO$7,(-FV(InflationRate,$AO$7,,$D147)),0)),0)</f>
        <v>0</v>
      </c>
      <c r="AP147" s="149">
        <f>IF($C147&gt;0,(IF($AO$7&gt;=$C147+1, (-FV(InflationRate,$AO$7,,$E147)), 0)),0)</f>
        <v>0</v>
      </c>
      <c r="AQ147" s="149">
        <f>IF($C147&gt;0,(IF($AO$7&gt;=$C147+1, (-FV(InflationRate,$AO$7,,$F147)), 0)),0)</f>
        <v>0</v>
      </c>
      <c r="AR147" s="157">
        <f>IF($C147&gt;0,(IF($AO$7&gt;=$C147+1, (-FV(InflationRate,$AO$7,,$G147)), 0)),0)</f>
        <v>0</v>
      </c>
      <c r="AS147" s="160">
        <f>IF($C147&gt;0,(IF($C147=$AS$7,(-FV(InflationRate,$AS$7,,$D147)),0)),0)</f>
        <v>0</v>
      </c>
      <c r="AT147" s="150">
        <f>IF($C147&gt;0,(IF($AS$7&gt;=$C147+1, (-FV(InflationRate,$AS$7,,$E147)), 0)),0)</f>
        <v>0</v>
      </c>
      <c r="AU147" s="150">
        <f>IF($C147&gt;0,(IF($AS$7&gt;=$C147+1, (-FV(InflationRate,$AS$7,,$F147)), 0)),0)</f>
        <v>0</v>
      </c>
      <c r="AV147" s="165">
        <f>IF($C147&gt;0,(IF($AS$7&gt;=$C147+1, (-FV(InflationRate,$AS$7,,$G147)), 0)),0)</f>
        <v>0</v>
      </c>
      <c r="AW147" s="168">
        <f>IF($C147&gt;0,(IF($C147=$AW$7,(-FV(InflationRate,$AW$7,,$D147)),0)),0)</f>
        <v>0</v>
      </c>
      <c r="AX147" s="149">
        <f>IF($C147&gt;0,(IF($AW$7&gt;=$C147+1, (-FV(InflationRate,$AW$7,,$E147)), 0)),0)</f>
        <v>0</v>
      </c>
      <c r="AY147" s="149">
        <f>IF($C147&gt;0,(IF($AW$7&gt;=$C147+1, (-FV(InflationRate,$AW$7,,$F147)), 0)),0)</f>
        <v>0</v>
      </c>
      <c r="AZ147" s="157">
        <f>IF($C147&gt;0,(IF($AW$7&gt;=$C147+1, (-FV(InflationRate,$AW$7,,$G147)), 0)),0)</f>
        <v>0</v>
      </c>
      <c r="BA147" s="160">
        <f>IF($C147&gt;0,(IF($C147=$BA$7,(-FV(InflationRate,$BA$7,,$D147)),0)),0)</f>
        <v>0</v>
      </c>
      <c r="BB147" s="150">
        <f>IF($C147&gt;0,(IF($BA$7&gt;=$C147+1, (-FV(InflationRate,$BA$7,,$E147)), 0)),0)</f>
        <v>0</v>
      </c>
      <c r="BC147" s="150">
        <f>IF($C147&gt;0,(IF($BA$7&gt;=$C147+1, (-FV(InflationRate,$BA$7,,$F147)), 0)),0)</f>
        <v>0</v>
      </c>
      <c r="BD147" s="176">
        <f>IF($C147&gt;0,(IF($BA$7&gt;=$C147+1, (-FV(InflationRate,$BA$7,,$G147)), 0)),0)</f>
        <v>0</v>
      </c>
      <c r="BE147" s="168">
        <f>IF($C147&gt;0,(IF($C147=$BE$7,(-FV(InflationRate,$BE$7,,$D147)),0)),0)</f>
        <v>0</v>
      </c>
      <c r="BF147" s="149">
        <f>IF($C147&gt;0,(IF($BE$7&gt;=$C147+1, (-FV(InflationRate,$BE$7,,$E147)), 0)),0)</f>
        <v>0</v>
      </c>
      <c r="BG147" s="149">
        <f>IF($C147&gt;0,(IF($BE$7&gt;=$C147+1, (-FV(InflationRate,$BE$7,,$F147)), 0)),0)</f>
        <v>0</v>
      </c>
      <c r="BH147" s="171">
        <f>IF($C147&gt;0,(IF($BE$7&gt;=$C147+1, (-FV(InflationRate,$BE$7,,$G147)), 0)),0)</f>
        <v>0</v>
      </c>
      <c r="BI147" s="160">
        <f>IF($C147&gt;0,(IF($C147=$BI$7,(-FV(InflationRate,$BI$7,,$D147)),0)),0)</f>
        <v>0</v>
      </c>
      <c r="BJ147" s="150">
        <f>IF($C147&gt;0,(IF($BI$7&gt;=$C147+1, (-FV(InflationRate,$BI$7,,$E147)), 0)),0)</f>
        <v>0</v>
      </c>
      <c r="BK147" s="150">
        <f>IF($C147&gt;0,(IF($BI$7&gt;=$C147+1, (-FV(InflationRate,$BI$7,,$F147)), 0)),0)</f>
        <v>0</v>
      </c>
      <c r="BL147" s="176">
        <f>IF($C147&gt;0,(IF($BI$7&gt;=$C147+1, (-FV(InflationRate,$BI$7,,$G147)), 0)),0)</f>
        <v>0</v>
      </c>
      <c r="BM147" s="168">
        <f>IF($C147&gt;0,(IF($C147=$BM$7,(-FV(InflationRate,$BM$7,,$D147)),0)),0)</f>
        <v>0</v>
      </c>
      <c r="BN147" s="149">
        <f>IF($C147&gt;0,(IF($BM$7&gt;=$C147+1, (-FV(InflationRate,$BM$7,,$E147)), 0)),0)</f>
        <v>0</v>
      </c>
      <c r="BO147" s="149">
        <f>IF($C147&gt;0,(IF($BM$7&gt;=$C147+1, (-FV(InflationRate,$BM$7,,$F147)), 0)),0)</f>
        <v>0</v>
      </c>
      <c r="BP147" s="157">
        <f>IF($C147&gt;0,(IF($BM$7&gt;=$C147+1, (-FV(InflationRate,$BM$7,,$G147)), 0)),0)</f>
        <v>0</v>
      </c>
      <c r="BQ147" s="160">
        <f>IF($C147&gt;0,(IF($C147=$BQ$7,(-FV(InflationRate,$BQ$7,,$D147)),0)),0)</f>
        <v>0</v>
      </c>
      <c r="BR147" s="150">
        <f>IF($C147&gt;0,(IF($BQ$7&gt;=$C147+1, (-FV(InflationRate,$BQ$7,,$E147)), 0)),0)</f>
        <v>0</v>
      </c>
      <c r="BS147" s="150">
        <f>IF($C147&gt;0,(IF($BQ$7&gt;=$C147+1, (-FV(InflationRate,$BQ$7,,$F147)), 0)),0)</f>
        <v>0</v>
      </c>
      <c r="BT147" s="176">
        <f>IF($C147&gt;0,(IF($BQ$7&gt;=$C147+1, (-FV(InflationRate,$BQ$7,,$G147)), 0)),0)</f>
        <v>0</v>
      </c>
      <c r="BU147" s="168">
        <f>IF($C147&gt;0,(IF($C147=$BU$7,(-FV(InflationRate,$BU$7,,$D147)),0)),0)</f>
        <v>0</v>
      </c>
      <c r="BV147" s="149">
        <f>IF($C147&gt;0,(IF($BU$7&gt;=$C147+1, (-FV(InflationRate,$BU$7,,$E147)), 0)),0)</f>
        <v>0</v>
      </c>
      <c r="BW147" s="149">
        <f>IF($C147&gt;0,(IF($BU$7&gt;=$C147+1, (-FV(InflationRate,$BU$7,,$F147)), 0)),0)</f>
        <v>0</v>
      </c>
      <c r="BX147" s="157">
        <f>IF($C147&gt;0,(IF($BU$7&gt;=$C147+1, (-FV(InflationRate,$BU$7,,$G147)), 0)),0)</f>
        <v>0</v>
      </c>
      <c r="BY147" s="160">
        <f>IF($C147&gt;0,(IF($C147=$BY$7,(-FV(InflationRate,$BY$7,,$D147)),0)),0)</f>
        <v>0</v>
      </c>
      <c r="BZ147" s="150">
        <f>IF($C147&gt;0,(IF($BY$7&gt;=$C147+1, (-FV(InflationRate,$BY$7,,$E147)), 0)),0)</f>
        <v>0</v>
      </c>
      <c r="CA147" s="150">
        <f>IF($C147&gt;0,(IF($BY$7&gt;=$C147+1, (-FV(InflationRate,$BY$7,,$F147)), 0)),0)</f>
        <v>0</v>
      </c>
      <c r="CB147" s="176">
        <f>IF($C147&gt;0,(IF($BY$7&gt;=$C147+1, (-FV(InflationRate,$BY$7,,$G147)), 0)),0)</f>
        <v>0</v>
      </c>
      <c r="CC147" s="168">
        <f>IF($C147&gt;0,(IF($C147=$CC$7,(-FV(InflationRate,$CC$7,,$D147)),0)),0)</f>
        <v>0</v>
      </c>
      <c r="CD147" s="149">
        <f>IF($C147&gt;0,(IF($CC$7&gt;=$C147+1, (-FV(InflationRate,$CC$7,,$E147)), 0)),0)</f>
        <v>0</v>
      </c>
      <c r="CE147" s="149">
        <f>IF($C147&gt;0,(IF($CC$7&gt;=$C147+1, (-FV(InflationRate,$CC$7,,$F147)), 0)),0)</f>
        <v>0</v>
      </c>
      <c r="CF147" s="157">
        <f>IF($C147&gt;0,(IF($CC$7&gt;=$C147+1, (-FV(InflationRate,$CC$7,,$G147)), 0)),0)</f>
        <v>0</v>
      </c>
      <c r="CG147" s="160">
        <f>IF($C147&gt;0,(IF($C147=$CG$7,(-FV(InflationRate,$CG$7,,$D147)),0)),0)</f>
        <v>0</v>
      </c>
      <c r="CH147" s="150">
        <f>IF($C147&gt;0,(IF($CG$7&gt;=$C147+1, (-FV(InflationRate,$CG$7,,$E147)), 0)),0)</f>
        <v>0</v>
      </c>
      <c r="CI147" s="150">
        <f>IF($C147&gt;0,(IF($CG$7&gt;=$C147+1, (-FV(InflationRate,$CG$7,,$F147)), 0)),0)</f>
        <v>0</v>
      </c>
      <c r="CJ147" s="176">
        <f>IF($C147&gt;0,(IF($CG$7&gt;=$C147+1, (-FV(InflationRate,$CG$7,,$G147)), 0)),0)</f>
        <v>0</v>
      </c>
      <c r="CK147" s="168">
        <f>IF($C147&gt;0,(IF($C147=$CK$7,(-FV(InflationRate,$CK$7,,$D147)),0)),0)</f>
        <v>0</v>
      </c>
      <c r="CL147" s="149">
        <f>IF($C147&gt;0,(IF($CK$7&gt;=$C147+1, (-FV(InflationRate,$CK$7,,$E147)), 0)),0)</f>
        <v>0</v>
      </c>
      <c r="CM147" s="149">
        <f>IF($C147&gt;0,(IF($CK$7&gt;=$C147+1, (-FV(InflationRate,$CK$7,,$F147)), 0)),0)</f>
        <v>0</v>
      </c>
      <c r="CN147" s="157">
        <f>IF($C147&gt;0,(IF($CK$7&gt;=$C147+1, (-FV(InflationRate,$CK$7,,$G147)), 0)),0)</f>
        <v>0</v>
      </c>
      <c r="CO147" s="160">
        <f>IF($C147&gt;0,(IF($C147=$CO$7,(-FV(InflationRate,$CO$7,,$D147)),0)),0)</f>
        <v>0</v>
      </c>
      <c r="CP147" s="150">
        <f>IF($C147&gt;0,(IF($CO$7&gt;=$C147+1, (-FV(InflationRate,$CO$7,,$E147)), 0)),0)</f>
        <v>0</v>
      </c>
      <c r="CQ147" s="150">
        <f>IF($C147&gt;0,(IF($CO$7&gt;=$C147+1, (-FV(InflationRate,$CO$7,,$F147)), 0)),0)</f>
        <v>0</v>
      </c>
      <c r="CR147" s="176">
        <f>IF($C147&gt;0,(IF($CO$7&gt;=$C147+1, (-FV(InflationRate,$CO$7,,$G147)), 0)),0)</f>
        <v>0</v>
      </c>
      <c r="CS147" s="168">
        <f>IF($C147&gt;0,(IF($C147=$CS$7,(-FV(InflationRate,$CS$7,,$D147)),0)),0)</f>
        <v>0</v>
      </c>
      <c r="CT147" s="149">
        <f>IF($C147&gt;0,(IF($CS$7&gt;=$C147+1, (-FV(InflationRate,$CS$7,,$E147)), 0)),0)</f>
        <v>0</v>
      </c>
      <c r="CU147" s="149">
        <f>IF($C147&gt;0,(IF($CS$7&gt;=$C147+1, (-FV(InflationRate,$CS$7,,$F147)), 0)),0)</f>
        <v>0</v>
      </c>
      <c r="CV147" s="157">
        <f>IF($C147&gt;0,(IF($CS$7&gt;=$C147+1, (-FV(InflationRate,$CS$7,,$G147)), 0)),0)</f>
        <v>0</v>
      </c>
      <c r="CW147" s="160">
        <f>IF($C147&gt;0,(IF($C147=$CW$7,(-FV(InflationRate,$CW$7,,$D147)),0)),0)</f>
        <v>0</v>
      </c>
      <c r="CX147" s="150">
        <f>IF($C147&gt;0,(IF($CW$7&gt;=$C147+1, (-FV(InflationRate,$CW$7,,$E147)), 0)),0)</f>
        <v>0</v>
      </c>
      <c r="CY147" s="150">
        <f>IF($C147&gt;0,(IF($CW$7&gt;=$C147+1, (-FV(InflationRate,$CW$7,,$F147)), 0)),0)</f>
        <v>0</v>
      </c>
      <c r="CZ147" s="176">
        <f>IF($C147&gt;0,(IF($CW$7&gt;=$C147+1, (-FV(InflationRate,$CW$7,,$G147)), 0)),0)</f>
        <v>0</v>
      </c>
      <c r="DA147" s="168">
        <f>IF($C147&gt;0,(IF($C147=$DA$7,(-FV(InflationRate,$DA$7,,$D147)),0)),0)</f>
        <v>0</v>
      </c>
      <c r="DB147" s="149">
        <f>IF($C147&gt;0,(IF($DA$7&gt;=$C147+1, (-FV(InflationRate,$DA$7,,$E147)), 0)),0)</f>
        <v>0</v>
      </c>
      <c r="DC147" s="149">
        <f>IF($C147&gt;0,(IF($DA$7&gt;=$C147+1, (-FV(InflationRate,$DA$7,,$F147)), 0)),0)</f>
        <v>0</v>
      </c>
      <c r="DD147" s="157">
        <f>IF($C147&gt;0,(IF($DA$7&gt;=$C147+1, (-FV(InflationRate,$DA$7,,$G147)), 0)),0)</f>
        <v>0</v>
      </c>
    </row>
    <row r="148" spans="2:108" ht="12" hidden="1" customHeight="1" x14ac:dyDescent="0.2">
      <c r="B148" s="183" t="s">
        <v>203</v>
      </c>
      <c r="C148" s="556"/>
      <c r="D148" s="168"/>
      <c r="E148" s="149"/>
      <c r="F148" s="149">
        <f>F145</f>
        <v>0</v>
      </c>
      <c r="G148" s="149"/>
      <c r="H148" s="168">
        <f>SUM(I148:AB148)</f>
        <v>0</v>
      </c>
      <c r="I148" s="610">
        <f>-PV(InterestRate,I$8,,(SUM(AC148:AF148)))</f>
        <v>0</v>
      </c>
      <c r="J148" s="610">
        <f>-PV(InterestRate,J$8,,(SUM(AG148:AJ148)))</f>
        <v>0</v>
      </c>
      <c r="K148" s="610">
        <f>-PV(InterestRate,K$8,,(SUM(AK148:AN148)))</f>
        <v>0</v>
      </c>
      <c r="L148" s="610">
        <f>-PV(InterestRate,L$8,,(SUM(AO148:AR148)))</f>
        <v>0</v>
      </c>
      <c r="M148" s="610">
        <f>-PV(InterestRate,M$8,,(SUM(AS148:AV148)))</f>
        <v>0</v>
      </c>
      <c r="N148" s="610">
        <f>-PV(InterestRate,N$8,,(SUM(AW148:AZ148)))</f>
        <v>0</v>
      </c>
      <c r="O148" s="610">
        <f>-PV(InterestRate,O$8,,(SUM(BA148:BD148)))</f>
        <v>0</v>
      </c>
      <c r="P148" s="610">
        <f>-PV(InterestRate,P$8,,(SUM(BE148:BH148)))</f>
        <v>0</v>
      </c>
      <c r="Q148" s="610">
        <f>-PV(InterestRate,Q$8,,(SUM(BI148:BL148)))</f>
        <v>0</v>
      </c>
      <c r="R148" s="610">
        <f>-PV(InterestRate,R$8,,(SUM(BM148:BP148)))</f>
        <v>0</v>
      </c>
      <c r="S148" s="610">
        <f>-PV(InterestRate,S$8,,(SUM(BQ148:BT148)))</f>
        <v>0</v>
      </c>
      <c r="T148" s="610">
        <f>-PV(InterestRate,T$8,,(SUM(BU148:BX148)))</f>
        <v>0</v>
      </c>
      <c r="U148" s="610">
        <f>-PV(InterestRate,U$8,,(SUM(BY148:CB148)))</f>
        <v>0</v>
      </c>
      <c r="V148" s="610">
        <f>-PV(InterestRate,V$8,,(SUM(CC148:CF148)))</f>
        <v>0</v>
      </c>
      <c r="W148" s="610">
        <f>-PV(InterestRate,W$8,,(SUM(CG148:CJ148)))</f>
        <v>0</v>
      </c>
      <c r="X148" s="610">
        <f>-PV(InterestRate,X$8,,(SUM(CK148:CN148)))</f>
        <v>0</v>
      </c>
      <c r="Y148" s="610">
        <f>-PV(InterestRate,Y$8,,(SUM(CO148:CR148)))</f>
        <v>0</v>
      </c>
      <c r="Z148" s="610">
        <f>-PV(InterestRate,Z$8,,(SUM(CS148:CV148)))</f>
        <v>0</v>
      </c>
      <c r="AA148" s="610">
        <f>-PV(InterestRate,AA$8,,(SUM(CW148:CZ148)))</f>
        <v>0</v>
      </c>
      <c r="AB148" s="611">
        <f>-PV(InterestRate,AB$8,,(SUM(DA148:DD148)))</f>
        <v>0</v>
      </c>
      <c r="AC148" s="160"/>
      <c r="AD148" s="150"/>
      <c r="AE148" s="150"/>
      <c r="AF148" s="165"/>
      <c r="AG148" s="168"/>
      <c r="AH148" s="149"/>
      <c r="AI148" s="149"/>
      <c r="AJ148" s="171"/>
      <c r="AK148" s="160"/>
      <c r="AL148" s="150"/>
      <c r="AM148" s="150"/>
      <c r="AN148" s="165"/>
      <c r="AO148" s="168">
        <f>IF($C148&gt;0,(IF($C148=$AO$7,(-FV(InflationRate,$AO$7,,$D148)),0)),0)</f>
        <v>0</v>
      </c>
      <c r="AP148" s="149">
        <f>IF($C148&gt;0,(IF($AO$7&gt;=$C148+1, (-FV(InflationRate,$AO$7,,$E148)), 0)),0)</f>
        <v>0</v>
      </c>
      <c r="AQ148" s="149">
        <f>IF($C148&gt;0,(IF($AO$7&gt;=$C148+1, (-FV(InflationRate,$AO$7,,$F148)), 0)),0)</f>
        <v>0</v>
      </c>
      <c r="AR148" s="157">
        <f>IF($C148&gt;0,(IF($AO$7&gt;=$C148+1, (-FV(InflationRate,$AO$7,,$G148)), 0)),0)</f>
        <v>0</v>
      </c>
      <c r="AS148" s="160">
        <f>IF($C148&gt;0,(IF($C148=$AS$7,(-FV(InflationRate,$AS$7,,$D148)),0)),0)</f>
        <v>0</v>
      </c>
      <c r="AT148" s="150">
        <f>IF($C148&gt;0,(IF($AS$7&gt;=$C148+1, (-FV(InflationRate,$AS$7,,$E148)), 0)),0)</f>
        <v>0</v>
      </c>
      <c r="AU148" s="150">
        <f>IF($C148&gt;0,(IF($AS$7&gt;=$C148+1, (-FV(InflationRate,$AS$7,,$F148)), 0)),0)</f>
        <v>0</v>
      </c>
      <c r="AV148" s="165">
        <f>IF($C148&gt;0,(IF($AS$7&gt;=$C148+1, (-FV(InflationRate,$AS$7,,$G148)), 0)),0)</f>
        <v>0</v>
      </c>
      <c r="AW148" s="168">
        <f>IF($C148&gt;0,(IF($C148=$AW$7,(-FV(InflationRate,$AW$7,,$D148)),0)),0)</f>
        <v>0</v>
      </c>
      <c r="AX148" s="149">
        <f>IF($C148&gt;0,(IF($AW$7&gt;=$C148+1, (-FV(InflationRate,$AW$7,,$E148)), 0)),0)</f>
        <v>0</v>
      </c>
      <c r="AY148" s="149">
        <f>IF($C148&gt;0,(IF($AW$7&gt;=$C148+1, (-FV(InflationRate,$AW$7,,$F148)), 0)),0)</f>
        <v>0</v>
      </c>
      <c r="AZ148" s="157">
        <f>IF($C148&gt;0,(IF($AW$7&gt;=$C148+1, (-FV(InflationRate,$AW$7,,$G148)), 0)),0)</f>
        <v>0</v>
      </c>
      <c r="BA148" s="160">
        <f>IF($C148&gt;0,(IF($C148=$BA$7,(-FV(InflationRate,$BA$7,,$D148)),0)),0)</f>
        <v>0</v>
      </c>
      <c r="BB148" s="150">
        <f>IF($C148&gt;0,(IF($BA$7&gt;=$C148+1, (-FV(InflationRate,$BA$7,,$E148)), 0)),0)</f>
        <v>0</v>
      </c>
      <c r="BC148" s="150">
        <f>IF($C148&gt;0,(IF($BA$7&gt;=$C148+1, (-FV(InflationRate,$BA$7,,$F148)), 0)),0)</f>
        <v>0</v>
      </c>
      <c r="BD148" s="176">
        <f>IF($C148&gt;0,(IF($BA$7&gt;=$C148+1, (-FV(InflationRate,$BA$7,,$G148)), 0)),0)</f>
        <v>0</v>
      </c>
      <c r="BE148" s="168">
        <f>IF($C148&gt;0,(IF($C148=$BE$7,(-FV(InflationRate,$BE$7,,$D148)),0)),0)</f>
        <v>0</v>
      </c>
      <c r="BF148" s="149">
        <f>IF($C148&gt;0,(IF($BE$7&gt;=$C148+1, (-FV(InflationRate,$BE$7,,$E148)), 0)),0)</f>
        <v>0</v>
      </c>
      <c r="BG148" s="149">
        <f>IF($C148&gt;0,(IF($BE$7&gt;=$C148+1, (-FV(InflationRate,$BE$7,,$F148)), 0)),0)</f>
        <v>0</v>
      </c>
      <c r="BH148" s="171">
        <f>IF($C148&gt;0,(IF($BE$7&gt;=$C148+1, (-FV(InflationRate,$BE$7,,$G148)), 0)),0)</f>
        <v>0</v>
      </c>
      <c r="BI148" s="160">
        <f>IF($C148&gt;0,(IF($C148=$BI$7,(-FV(InflationRate,$BI$7,,$D148)),0)),0)</f>
        <v>0</v>
      </c>
      <c r="BJ148" s="150">
        <f>IF($C148&gt;0,(IF($BI$7&gt;=$C148+1, (-FV(InflationRate,$BI$7,,$E148)), 0)),0)</f>
        <v>0</v>
      </c>
      <c r="BK148" s="150">
        <f>IF($C148&gt;0,(IF($BI$7&gt;=$C148+1, (-FV(InflationRate,$BI$7,,$F148)), 0)),0)</f>
        <v>0</v>
      </c>
      <c r="BL148" s="176">
        <f>IF($C148&gt;0,(IF($BI$7&gt;=$C148+1, (-FV(InflationRate,$BI$7,,$G148)), 0)),0)</f>
        <v>0</v>
      </c>
      <c r="BM148" s="168">
        <f>IF($C148&gt;0,(IF($C148=$BM$7,(-FV(InflationRate,$BM$7,,$D148)),0)),0)</f>
        <v>0</v>
      </c>
      <c r="BN148" s="149">
        <f>IF($C148&gt;0,(IF($BM$7&gt;=$C148+1, (-FV(InflationRate,$BM$7,,$E148)), 0)),0)</f>
        <v>0</v>
      </c>
      <c r="BO148" s="149">
        <f>IF($C148&gt;0,(IF($BM$7&gt;=$C148+1, (-FV(InflationRate,$BM$7,,$F148)), 0)),0)</f>
        <v>0</v>
      </c>
      <c r="BP148" s="157">
        <f>IF($C148&gt;0,(IF($BM$7&gt;=$C148+1, (-FV(InflationRate,$BM$7,,$G148)), 0)),0)</f>
        <v>0</v>
      </c>
      <c r="BQ148" s="160">
        <f>IF($C148&gt;0,(IF($C148=$BQ$7,(-FV(InflationRate,$BQ$7,,$D148)),0)),0)</f>
        <v>0</v>
      </c>
      <c r="BR148" s="150">
        <f>IF($C148&gt;0,(IF($BQ$7&gt;=$C148+1, (-FV(InflationRate,$BQ$7,,$E148)), 0)),0)</f>
        <v>0</v>
      </c>
      <c r="BS148" s="150">
        <f>IF($C148&gt;0,(IF($BQ$7&gt;=$C148+1, (-FV(InflationRate,$BQ$7,,$F148)), 0)),0)</f>
        <v>0</v>
      </c>
      <c r="BT148" s="176">
        <f>IF($C148&gt;0,(IF($BQ$7&gt;=$C148+1, (-FV(InflationRate,$BQ$7,,$G148)), 0)),0)</f>
        <v>0</v>
      </c>
      <c r="BU148" s="168">
        <f>IF($C148&gt;0,(IF($C148=$BU$7,(-FV(InflationRate,$BU$7,,$D148)),0)),0)</f>
        <v>0</v>
      </c>
      <c r="BV148" s="149">
        <f>IF($C148&gt;0,(IF($BU$7&gt;=$C148+1, (-FV(InflationRate,$BU$7,,$E148)), 0)),0)</f>
        <v>0</v>
      </c>
      <c r="BW148" s="149">
        <f>IF($C148&gt;0,(IF($BU$7&gt;=$C148+1, (-FV(InflationRate,$BU$7,,$F148)), 0)),0)</f>
        <v>0</v>
      </c>
      <c r="BX148" s="157">
        <f>IF($C148&gt;0,(IF($BU$7&gt;=$C148+1, (-FV(InflationRate,$BU$7,,$G148)), 0)),0)</f>
        <v>0</v>
      </c>
      <c r="BY148" s="160">
        <f>IF($C148&gt;0,(IF($C148=$BY$7,(-FV(InflationRate,$BY$7,,$D148)),0)),0)</f>
        <v>0</v>
      </c>
      <c r="BZ148" s="150">
        <f>IF($C148&gt;0,(IF($BY$7&gt;=$C148+1, (-FV(InflationRate,$BY$7,,$E148)), 0)),0)</f>
        <v>0</v>
      </c>
      <c r="CA148" s="150">
        <f>IF($C148&gt;0,(IF($BY$7&gt;=$C148+1, (-FV(InflationRate,$BY$7,,$F148)), 0)),0)</f>
        <v>0</v>
      </c>
      <c r="CB148" s="176">
        <f>IF($C148&gt;0,(IF($BY$7&gt;=$C148+1, (-FV(InflationRate,$BY$7,,$G148)), 0)),0)</f>
        <v>0</v>
      </c>
      <c r="CC148" s="168">
        <f>IF($C148&gt;0,(IF($C148=$CC$7,(-FV(InflationRate,$CC$7,,$D148)),0)),0)</f>
        <v>0</v>
      </c>
      <c r="CD148" s="149">
        <f>IF($C148&gt;0,(IF($CC$7&gt;=$C148+1, (-FV(InflationRate,$CC$7,,$E148)), 0)),0)</f>
        <v>0</v>
      </c>
      <c r="CE148" s="149">
        <f>IF($C148&gt;0,(IF($CC$7&gt;=$C148+1, (-FV(InflationRate,$CC$7,,$F148)), 0)),0)</f>
        <v>0</v>
      </c>
      <c r="CF148" s="157">
        <f>IF($C148&gt;0,(IF($CC$7&gt;=$C148+1, (-FV(InflationRate,$CC$7,,$G148)), 0)),0)</f>
        <v>0</v>
      </c>
      <c r="CG148" s="160">
        <f>IF($C148&gt;0,(IF($C148=$CG$7,(-FV(InflationRate,$CG$7,,$D148)),0)),0)</f>
        <v>0</v>
      </c>
      <c r="CH148" s="150">
        <f>IF($C148&gt;0,(IF($CG$7&gt;=$C148+1, (-FV(InflationRate,$CG$7,,$E148)), 0)),0)</f>
        <v>0</v>
      </c>
      <c r="CI148" s="150">
        <f>IF($C148&gt;0,(IF($CG$7&gt;=$C148+1, (-FV(InflationRate,$CG$7,,$F148)), 0)),0)</f>
        <v>0</v>
      </c>
      <c r="CJ148" s="176">
        <f>IF($C148&gt;0,(IF($CG$7&gt;=$C148+1, (-FV(InflationRate,$CG$7,,$G148)), 0)),0)</f>
        <v>0</v>
      </c>
      <c r="CK148" s="168">
        <f>IF($C148&gt;0,(IF($C148=$CK$7,(-FV(InflationRate,$CK$7,,$D148)),0)),0)</f>
        <v>0</v>
      </c>
      <c r="CL148" s="149">
        <f>IF($C148&gt;0,(IF($CK$7&gt;=$C148+1, (-FV(InflationRate,$CK$7,,$E148)), 0)),0)</f>
        <v>0</v>
      </c>
      <c r="CM148" s="149">
        <f>IF($C148&gt;0,(IF($CK$7&gt;=$C148+1, (-FV(InflationRate,$CK$7,,$F148)), 0)),0)</f>
        <v>0</v>
      </c>
      <c r="CN148" s="157">
        <f>IF($C148&gt;0,(IF($CK$7&gt;=$C148+1, (-FV(InflationRate,$CK$7,,$G148)), 0)),0)</f>
        <v>0</v>
      </c>
      <c r="CO148" s="160">
        <f>IF($C148&gt;0,(IF($C148=$CO$7,(-FV(InflationRate,$CO$7,,$D148)),0)),0)</f>
        <v>0</v>
      </c>
      <c r="CP148" s="150">
        <f>IF($C148&gt;0,(IF($CO$7&gt;=$C148+1, (-FV(InflationRate,$CO$7,,$E148)), 0)),0)</f>
        <v>0</v>
      </c>
      <c r="CQ148" s="150">
        <f>IF($C148&gt;0,(IF($CO$7&gt;=$C148+1, (-FV(InflationRate,$CO$7,,$F148)), 0)),0)</f>
        <v>0</v>
      </c>
      <c r="CR148" s="176">
        <f>IF($C148&gt;0,(IF($CO$7&gt;=$C148+1, (-FV(InflationRate,$CO$7,,$G148)), 0)),0)</f>
        <v>0</v>
      </c>
      <c r="CS148" s="168">
        <f>IF($C148&gt;0,(IF($C148=$CS$7,(-FV(InflationRate,$CS$7,,$D148)),0)),0)</f>
        <v>0</v>
      </c>
      <c r="CT148" s="149">
        <f>IF($C148&gt;0,(IF($CS$7&gt;=$C148+1, (-FV(InflationRate,$CS$7,,$E148)), 0)),0)</f>
        <v>0</v>
      </c>
      <c r="CU148" s="149">
        <f>IF($C148&gt;0,(IF($CS$7&gt;=$C148+1, (-FV(InflationRate,$CS$7,,$F148)), 0)),0)</f>
        <v>0</v>
      </c>
      <c r="CV148" s="157">
        <f>IF($C148&gt;0,(IF($CS$7&gt;=$C148+1, (-FV(InflationRate,$CS$7,,$G148)), 0)),0)</f>
        <v>0</v>
      </c>
      <c r="CW148" s="160">
        <f>IF($C148&gt;0,(IF($C148=$CW$7,(-FV(InflationRate,$CW$7,,$D148)),0)),0)</f>
        <v>0</v>
      </c>
      <c r="CX148" s="150">
        <f>IF($C148&gt;0,(IF($CW$7&gt;=$C148+1, (-FV(InflationRate,$CW$7,,$E148)), 0)),0)</f>
        <v>0</v>
      </c>
      <c r="CY148" s="150">
        <f>IF($C148&gt;0,(IF($CW$7&gt;=$C148+1, (-FV(InflationRate,$CW$7,,$F148)), 0)),0)</f>
        <v>0</v>
      </c>
      <c r="CZ148" s="176">
        <f>IF($C148&gt;0,(IF($CW$7&gt;=$C148+1, (-FV(InflationRate,$CW$7,,$G148)), 0)),0)</f>
        <v>0</v>
      </c>
      <c r="DA148" s="168">
        <f>IF($C148&gt;0,(IF($C148=$DA$7,(-FV(InflationRate,$DA$7,,$D148)),0)),0)</f>
        <v>0</v>
      </c>
      <c r="DB148" s="149">
        <f>IF($C148&gt;0,(IF($DA$7&gt;=$C148+1, (-FV(InflationRate,$DA$7,,$E148)), 0)),0)</f>
        <v>0</v>
      </c>
      <c r="DC148" s="149">
        <f>IF($C148&gt;0,(IF($DA$7&gt;=$C148+1, (-FV(InflationRate,$DA$7,,$F148)), 0)),0)</f>
        <v>0</v>
      </c>
      <c r="DD148" s="157">
        <f>IF($C148&gt;0,(IF($DA$7&gt;=$C148+1, (-FV(InflationRate,$DA$7,,$G148)), 0)),0)</f>
        <v>0</v>
      </c>
    </row>
    <row r="149" spans="2:108" ht="12" hidden="1" customHeight="1" x14ac:dyDescent="0.2">
      <c r="B149" s="183"/>
      <c r="C149" s="189"/>
      <c r="D149" s="168"/>
      <c r="E149" s="149"/>
      <c r="F149" s="149"/>
      <c r="G149" s="149"/>
      <c r="H149" s="168"/>
      <c r="I149" s="600"/>
      <c r="J149" s="600"/>
      <c r="K149" s="600"/>
      <c r="L149" s="600"/>
      <c r="M149" s="600"/>
      <c r="N149" s="600"/>
      <c r="O149" s="600"/>
      <c r="P149" s="600"/>
      <c r="Q149" s="600"/>
      <c r="R149" s="600"/>
      <c r="S149" s="600"/>
      <c r="T149" s="600"/>
      <c r="U149" s="600"/>
      <c r="V149" s="600"/>
      <c r="W149" s="600"/>
      <c r="X149" s="600"/>
      <c r="Y149" s="600"/>
      <c r="Z149" s="600"/>
      <c r="AA149" s="600"/>
      <c r="AB149" s="601"/>
      <c r="AC149" s="160"/>
      <c r="AD149" s="150"/>
      <c r="AE149" s="150"/>
      <c r="AF149" s="165"/>
      <c r="AG149" s="168"/>
      <c r="AH149" s="149"/>
      <c r="AI149" s="149"/>
      <c r="AJ149" s="171"/>
      <c r="AK149" s="160"/>
      <c r="AL149" s="150"/>
      <c r="AM149" s="150"/>
      <c r="AN149" s="165"/>
      <c r="AO149" s="168"/>
      <c r="AP149" s="149"/>
      <c r="AQ149" s="149"/>
      <c r="AR149" s="157"/>
      <c r="AS149" s="160"/>
      <c r="AT149" s="150"/>
      <c r="AU149" s="150"/>
      <c r="AV149" s="165"/>
      <c r="AW149" s="168"/>
      <c r="AX149" s="149"/>
      <c r="AY149" s="149"/>
      <c r="AZ149" s="157"/>
      <c r="BA149" s="160"/>
      <c r="BB149" s="150"/>
      <c r="BC149" s="150"/>
      <c r="BD149" s="176"/>
      <c r="BE149" s="168"/>
      <c r="BF149" s="149"/>
      <c r="BG149" s="149"/>
      <c r="BH149" s="171"/>
      <c r="BI149" s="160"/>
      <c r="BJ149" s="150"/>
      <c r="BK149" s="150"/>
      <c r="BL149" s="176"/>
      <c r="BM149" s="168"/>
      <c r="BN149" s="149"/>
      <c r="BO149" s="149"/>
      <c r="BP149" s="157"/>
      <c r="BQ149" s="160"/>
      <c r="BR149" s="150"/>
      <c r="BS149" s="150"/>
      <c r="BT149" s="176"/>
      <c r="BU149" s="168"/>
      <c r="BV149" s="149"/>
      <c r="BW149" s="149"/>
      <c r="BX149" s="157"/>
      <c r="BY149" s="160"/>
      <c r="BZ149" s="150"/>
      <c r="CA149" s="150"/>
      <c r="CB149" s="176"/>
      <c r="CC149" s="168"/>
      <c r="CD149" s="149"/>
      <c r="CE149" s="149"/>
      <c r="CF149" s="157"/>
      <c r="CG149" s="160"/>
      <c r="CH149" s="150"/>
      <c r="CI149" s="150"/>
      <c r="CJ149" s="176"/>
      <c r="CK149" s="168"/>
      <c r="CL149" s="149"/>
      <c r="CM149" s="149"/>
      <c r="CN149" s="157"/>
      <c r="CO149" s="160"/>
      <c r="CP149" s="150"/>
      <c r="CQ149" s="150"/>
      <c r="CR149" s="176"/>
      <c r="CS149" s="168"/>
      <c r="CT149" s="149"/>
      <c r="CU149" s="149"/>
      <c r="CV149" s="157"/>
      <c r="CW149" s="160"/>
      <c r="CX149" s="150"/>
      <c r="CY149" s="150"/>
      <c r="CZ149" s="176"/>
      <c r="DA149" s="168"/>
      <c r="DB149" s="149"/>
      <c r="DC149" s="149"/>
      <c r="DD149" s="157"/>
    </row>
    <row r="150" spans="2:108" ht="12" hidden="1" customHeight="1" x14ac:dyDescent="0.2">
      <c r="B150" s="182" t="str">
        <f>'FCW - S4'!B5</f>
        <v>Floating Constructed Wetlands - Site 4</v>
      </c>
      <c r="C150" s="189"/>
      <c r="D150" s="194">
        <f>'FCW - S4'!F34</f>
        <v>0</v>
      </c>
      <c r="E150" s="195">
        <f>'FCW - S4'!F63</f>
        <v>0</v>
      </c>
      <c r="F150" s="195">
        <f>'FCW - S4'!F94</f>
        <v>0</v>
      </c>
      <c r="G150" s="195">
        <f>'FCW - S4'!F123</f>
        <v>0</v>
      </c>
      <c r="H150" s="168"/>
      <c r="I150" s="600"/>
      <c r="J150" s="600"/>
      <c r="K150" s="600"/>
      <c r="L150" s="600"/>
      <c r="M150" s="600"/>
      <c r="N150" s="600"/>
      <c r="O150" s="600"/>
      <c r="P150" s="600"/>
      <c r="Q150" s="600"/>
      <c r="R150" s="600"/>
      <c r="S150" s="600"/>
      <c r="T150" s="600"/>
      <c r="U150" s="600"/>
      <c r="V150" s="600"/>
      <c r="W150" s="600"/>
      <c r="X150" s="600"/>
      <c r="Y150" s="600"/>
      <c r="Z150" s="600"/>
      <c r="AA150" s="600"/>
      <c r="AB150" s="601"/>
      <c r="AC150" s="160"/>
      <c r="AD150" s="150"/>
      <c r="AE150" s="150"/>
      <c r="AF150" s="165"/>
      <c r="AG150" s="168"/>
      <c r="AH150" s="149"/>
      <c r="AI150" s="149"/>
      <c r="AJ150" s="171"/>
      <c r="AK150" s="160"/>
      <c r="AL150" s="150"/>
      <c r="AM150" s="150"/>
      <c r="AN150" s="165"/>
      <c r="AO150" s="168"/>
      <c r="AP150" s="149"/>
      <c r="AQ150" s="149"/>
      <c r="AR150" s="157"/>
      <c r="AS150" s="160"/>
      <c r="AT150" s="150"/>
      <c r="AU150" s="150"/>
      <c r="AV150" s="165"/>
      <c r="AW150" s="168"/>
      <c r="AX150" s="149"/>
      <c r="AY150" s="149"/>
      <c r="AZ150" s="157"/>
      <c r="BA150" s="160"/>
      <c r="BB150" s="150"/>
      <c r="BC150" s="150"/>
      <c r="BD150" s="176"/>
      <c r="BE150" s="168"/>
      <c r="BF150" s="149"/>
      <c r="BG150" s="149"/>
      <c r="BH150" s="171"/>
      <c r="BI150" s="160"/>
      <c r="BJ150" s="150"/>
      <c r="BK150" s="150"/>
      <c r="BL150" s="176"/>
      <c r="BM150" s="168"/>
      <c r="BN150" s="149"/>
      <c r="BO150" s="149"/>
      <c r="BP150" s="157"/>
      <c r="BQ150" s="160"/>
      <c r="BR150" s="150"/>
      <c r="BS150" s="150"/>
      <c r="BT150" s="176"/>
      <c r="BU150" s="168"/>
      <c r="BV150" s="149"/>
      <c r="BW150" s="149"/>
      <c r="BX150" s="157"/>
      <c r="BY150" s="160"/>
      <c r="BZ150" s="150"/>
      <c r="CA150" s="150"/>
      <c r="CB150" s="176"/>
      <c r="CC150" s="168"/>
      <c r="CD150" s="149"/>
      <c r="CE150" s="149"/>
      <c r="CF150" s="157"/>
      <c r="CG150" s="160"/>
      <c r="CH150" s="150"/>
      <c r="CI150" s="150"/>
      <c r="CJ150" s="176"/>
      <c r="CK150" s="168"/>
      <c r="CL150" s="149"/>
      <c r="CM150" s="149"/>
      <c r="CN150" s="157"/>
      <c r="CO150" s="160"/>
      <c r="CP150" s="150"/>
      <c r="CQ150" s="150"/>
      <c r="CR150" s="176"/>
      <c r="CS150" s="168"/>
      <c r="CT150" s="149"/>
      <c r="CU150" s="149"/>
      <c r="CV150" s="157"/>
      <c r="CW150" s="160"/>
      <c r="CX150" s="150"/>
      <c r="CY150" s="150"/>
      <c r="CZ150" s="176"/>
      <c r="DA150" s="168"/>
      <c r="DB150" s="149"/>
      <c r="DC150" s="149"/>
      <c r="DD150" s="157"/>
    </row>
    <row r="151" spans="2:108" ht="12" hidden="1" customHeight="1" x14ac:dyDescent="0.2">
      <c r="B151" s="183" t="s">
        <v>220</v>
      </c>
      <c r="C151" s="556"/>
      <c r="D151" s="168">
        <f>'FCW - S4'!F31+'FCW - S4'!F32</f>
        <v>0</v>
      </c>
      <c r="E151" s="149"/>
      <c r="F151" s="149"/>
      <c r="G151" s="149"/>
      <c r="H151" s="168">
        <f>SUM(I151:AB151)</f>
        <v>0</v>
      </c>
      <c r="I151" s="610">
        <f>-PV(InterestRate,I$8,,(SUM(AC151:AF151)))</f>
        <v>0</v>
      </c>
      <c r="J151" s="610">
        <f>-PV(InterestRate,J$8,,(SUM(AG151:AJ151)))</f>
        <v>0</v>
      </c>
      <c r="K151" s="610">
        <f>-PV(InterestRate,K$8,,(SUM(AK151:AN151)))</f>
        <v>0</v>
      </c>
      <c r="L151" s="610">
        <f>-PV(InterestRate,L$8,,(SUM(AO151:AR151)))</f>
        <v>0</v>
      </c>
      <c r="M151" s="610">
        <f>-PV(InterestRate,M$8,,(SUM(AS151:AV151)))</f>
        <v>0</v>
      </c>
      <c r="N151" s="610">
        <f>-PV(InterestRate,N$8,,(SUM(AW151:AZ151)))</f>
        <v>0</v>
      </c>
      <c r="O151" s="610">
        <f>-PV(InterestRate,O$8,,(SUM(BA151:BD151)))</f>
        <v>0</v>
      </c>
      <c r="P151" s="610">
        <f>-PV(InterestRate,P$8,,(SUM(BE151:BH151)))</f>
        <v>0</v>
      </c>
      <c r="Q151" s="610">
        <f>-PV(InterestRate,Q$8,,(SUM(BI151:BL151)))</f>
        <v>0</v>
      </c>
      <c r="R151" s="610">
        <f>-PV(InterestRate,R$8,,(SUM(BM151:BP151)))</f>
        <v>0</v>
      </c>
      <c r="S151" s="610">
        <f>-PV(InterestRate,S$8,,(SUM(BQ151:BT151)))</f>
        <v>0</v>
      </c>
      <c r="T151" s="610">
        <f>-PV(InterestRate,T$8,,(SUM(BU151:BX151)))</f>
        <v>0</v>
      </c>
      <c r="U151" s="610">
        <f>-PV(InterestRate,U$8,,(SUM(BY151:CB151)))</f>
        <v>0</v>
      </c>
      <c r="V151" s="610">
        <f>-PV(InterestRate,V$8,,(SUM(CC151:CF151)))</f>
        <v>0</v>
      </c>
      <c r="W151" s="610">
        <f>-PV(InterestRate,W$8,,(SUM(CG151:CJ151)))</f>
        <v>0</v>
      </c>
      <c r="X151" s="610">
        <f>-PV(InterestRate,X$8,,(SUM(CK151:CN151)))</f>
        <v>0</v>
      </c>
      <c r="Y151" s="610">
        <f>-PV(InterestRate,Y$8,,(SUM(CO151:CR151)))</f>
        <v>0</v>
      </c>
      <c r="Z151" s="610">
        <f>-PV(InterestRate,Z$8,,(SUM(CS151:CV151)))</f>
        <v>0</v>
      </c>
      <c r="AA151" s="610">
        <f>-PV(InterestRate,AA$8,,(SUM(CW151:CZ151)))</f>
        <v>0</v>
      </c>
      <c r="AB151" s="611">
        <f>-PV(InterestRate,AB$8,,(SUM(DA151:DD151)))</f>
        <v>0</v>
      </c>
      <c r="AC151" s="160"/>
      <c r="AD151" s="150"/>
      <c r="AE151" s="150"/>
      <c r="AF151" s="165"/>
      <c r="AG151" s="168"/>
      <c r="AH151" s="149"/>
      <c r="AI151" s="149"/>
      <c r="AJ151" s="171"/>
      <c r="AK151" s="160"/>
      <c r="AL151" s="150"/>
      <c r="AM151" s="150"/>
      <c r="AN151" s="165"/>
      <c r="AO151" s="168">
        <f>IF($C151&gt;0,(IF($C151=$AO$7,(-FV(InflationRate,$AO$7,,$D151)),0)),0)</f>
        <v>0</v>
      </c>
      <c r="AP151" s="149">
        <f>IF($C151&gt;0,(IF($AO$7&gt;=$C151+1, (-FV(InflationRate,$AO$7,,$E151)), 0)),0)</f>
        <v>0</v>
      </c>
      <c r="AQ151" s="149">
        <f>IF($C151&gt;0,(IF($AO$7&gt;=$C151+1, (-FV(InflationRate,$AO$7,,$F151)), 0)),0)</f>
        <v>0</v>
      </c>
      <c r="AR151" s="157">
        <f>IF($C151&gt;0,(IF($AO$7&gt;=$C151+1, (-FV(InflationRate,$AO$7,,$G151)), 0)),0)</f>
        <v>0</v>
      </c>
      <c r="AS151" s="160">
        <f>IF($C151&gt;0,(IF($C151=$AS$7,(-FV(InflationRate,$AS$7,,$D151)),0)),0)</f>
        <v>0</v>
      </c>
      <c r="AT151" s="150">
        <f>IF($C151&gt;0,(IF($AS$7&gt;=$C151+1, (-FV(InflationRate,$AS$7,,$E151)), 0)),0)</f>
        <v>0</v>
      </c>
      <c r="AU151" s="150">
        <f>IF($C151&gt;0,(IF($AS$7&gt;=$C151+1, (-FV(InflationRate,$AS$7,,$F151)), 0)),0)</f>
        <v>0</v>
      </c>
      <c r="AV151" s="165">
        <f>IF($C151&gt;0,(IF($AS$7&gt;=$C151+1, (-FV(InflationRate,$AS$7,,$G151)), 0)),0)</f>
        <v>0</v>
      </c>
      <c r="AW151" s="168">
        <f>IF($C151&gt;0,(IF($C151=$AW$7,(-FV(InflationRate,$AW$7,,$D151)),0)),0)</f>
        <v>0</v>
      </c>
      <c r="AX151" s="149">
        <f>IF($C151&gt;0,(IF($AW$7&gt;=$C151+1, (-FV(InflationRate,$AW$7,,$E151)), 0)),0)</f>
        <v>0</v>
      </c>
      <c r="AY151" s="149">
        <f>IF($C151&gt;0,(IF($AW$7&gt;=$C151+1, (-FV(InflationRate,$AW$7,,$F151)), 0)),0)</f>
        <v>0</v>
      </c>
      <c r="AZ151" s="157">
        <f>IF($C151&gt;0,(IF($AW$7&gt;=$C151+1, (-FV(InflationRate,$AW$7,,$G151)), 0)),0)</f>
        <v>0</v>
      </c>
      <c r="BA151" s="160">
        <f>IF($C151&gt;0,(IF($C151=$BA$7,(-FV(InflationRate,$BA$7,,$D151)),0)),0)</f>
        <v>0</v>
      </c>
      <c r="BB151" s="150">
        <f>IF($C151&gt;0,(IF($BA$7&gt;=$C151+1, (-FV(InflationRate,$BA$7,,$E151)), 0)),0)</f>
        <v>0</v>
      </c>
      <c r="BC151" s="150">
        <f>IF($C151&gt;0,(IF($BA$7&gt;=$C151+1, (-FV(InflationRate,$BA$7,,$F151)), 0)),0)</f>
        <v>0</v>
      </c>
      <c r="BD151" s="176">
        <f>IF($C151&gt;0,(IF($BA$7&gt;=$C151+1, (-FV(InflationRate,$BA$7,,$G151)), 0)),0)</f>
        <v>0</v>
      </c>
      <c r="BE151" s="168">
        <f>IF($C151&gt;0,(IF($C151=$BE$7,(-FV(InflationRate,$BE$7,,$D151)),0)),0)</f>
        <v>0</v>
      </c>
      <c r="BF151" s="149">
        <f>IF($C151&gt;0,(IF($BE$7&gt;=$C151+1, (-FV(InflationRate,$BE$7,,$E151)), 0)),0)</f>
        <v>0</v>
      </c>
      <c r="BG151" s="149">
        <f>IF($C151&gt;0,(IF($BE$7&gt;=$C151+1, (-FV(InflationRate,$BE$7,,$F151)), 0)),0)</f>
        <v>0</v>
      </c>
      <c r="BH151" s="171">
        <f>IF($C151&gt;0,(IF($BE$7&gt;=$C151+1, (-FV(InflationRate,$BE$7,,$G151)), 0)),0)</f>
        <v>0</v>
      </c>
      <c r="BI151" s="160">
        <f>IF($C151&gt;0,(IF($C151=$BI$7,(-FV(InflationRate,$BI$7,,$D151)),0)),0)</f>
        <v>0</v>
      </c>
      <c r="BJ151" s="150">
        <f>IF($C151&gt;0,(IF($BI$7&gt;=$C151+1, (-FV(InflationRate,$BI$7,,$E151)), 0)),0)</f>
        <v>0</v>
      </c>
      <c r="BK151" s="150">
        <f>IF($C151&gt;0,(IF($BI$7&gt;=$C151+1, (-FV(InflationRate,$BI$7,,$F151)), 0)),0)</f>
        <v>0</v>
      </c>
      <c r="BL151" s="176">
        <f>IF($C151&gt;0,(IF($BI$7&gt;=$C151+1, (-FV(InflationRate,$BI$7,,$G151)), 0)),0)</f>
        <v>0</v>
      </c>
      <c r="BM151" s="168">
        <f>IF($C151&gt;0,(IF($C151=$BM$7,(-FV(InflationRate,$BM$7,,$D151)),0)),0)</f>
        <v>0</v>
      </c>
      <c r="BN151" s="149">
        <f>IF($C151&gt;0,(IF($BM$7&gt;=$C151+1, (-FV(InflationRate,$BM$7,,$E151)), 0)),0)</f>
        <v>0</v>
      </c>
      <c r="BO151" s="149">
        <f>IF($C151&gt;0,(IF($BM$7&gt;=$C151+1, (-FV(InflationRate,$BM$7,,$F151)), 0)),0)</f>
        <v>0</v>
      </c>
      <c r="BP151" s="157">
        <f>IF($C151&gt;0,(IF($BM$7&gt;=$C151+1, (-FV(InflationRate,$BM$7,,$G151)), 0)),0)</f>
        <v>0</v>
      </c>
      <c r="BQ151" s="160">
        <f>IF($C151&gt;0,(IF($C151=$BQ$7,(-FV(InflationRate,$BQ$7,,$D151)),0)),0)</f>
        <v>0</v>
      </c>
      <c r="BR151" s="150">
        <f>IF($C151&gt;0,(IF($BQ$7&gt;=$C151+1, (-FV(InflationRate,$BQ$7,,$E151)), 0)),0)</f>
        <v>0</v>
      </c>
      <c r="BS151" s="150">
        <f>IF($C151&gt;0,(IF($BQ$7&gt;=$C151+1, (-FV(InflationRate,$BQ$7,,$F151)), 0)),0)</f>
        <v>0</v>
      </c>
      <c r="BT151" s="176">
        <f>IF($C151&gt;0,(IF($BQ$7&gt;=$C151+1, (-FV(InflationRate,$BQ$7,,$G151)), 0)),0)</f>
        <v>0</v>
      </c>
      <c r="BU151" s="168">
        <f>IF($C151&gt;0,(IF($C151=$BU$7,(-FV(InflationRate,$BU$7,,$D151)),0)),0)</f>
        <v>0</v>
      </c>
      <c r="BV151" s="149">
        <f>IF($C151&gt;0,(IF($BU$7&gt;=$C151+1, (-FV(InflationRate,$BU$7,,$E151)), 0)),0)</f>
        <v>0</v>
      </c>
      <c r="BW151" s="149">
        <f>IF($C151&gt;0,(IF($BU$7&gt;=$C151+1, (-FV(InflationRate,$BU$7,,$F151)), 0)),0)</f>
        <v>0</v>
      </c>
      <c r="BX151" s="157">
        <f>IF($C151&gt;0,(IF($BU$7&gt;=$C151+1, (-FV(InflationRate,$BU$7,,$G151)), 0)),0)</f>
        <v>0</v>
      </c>
      <c r="BY151" s="160">
        <f>IF($C151&gt;0,(IF($C151=$BY$7,(-FV(InflationRate,$BY$7,,$D151)),0)),0)</f>
        <v>0</v>
      </c>
      <c r="BZ151" s="150">
        <f>IF($C151&gt;0,(IF($BY$7&gt;=$C151+1, (-FV(InflationRate,$BY$7,,$E151)), 0)),0)</f>
        <v>0</v>
      </c>
      <c r="CA151" s="150">
        <f>IF($C151&gt;0,(IF($BY$7&gt;=$C151+1, (-FV(InflationRate,$BY$7,,$F151)), 0)),0)</f>
        <v>0</v>
      </c>
      <c r="CB151" s="176">
        <f>IF($C151&gt;0,(IF($BY$7&gt;=$C151+1, (-FV(InflationRate,$BY$7,,$G151)), 0)),0)</f>
        <v>0</v>
      </c>
      <c r="CC151" s="168">
        <f>IF($C151&gt;0,(IF($C151=$CC$7,(-FV(InflationRate,$CC$7,,$D151)),0)),0)</f>
        <v>0</v>
      </c>
      <c r="CD151" s="149">
        <f>IF($C151&gt;0,(IF($CC$7&gt;=$C151+1, (-FV(InflationRate,$CC$7,,$E151)), 0)),0)</f>
        <v>0</v>
      </c>
      <c r="CE151" s="149">
        <f>IF($C151&gt;0,(IF($CC$7&gt;=$C151+1, (-FV(InflationRate,$CC$7,,$F151)), 0)),0)</f>
        <v>0</v>
      </c>
      <c r="CF151" s="157">
        <f>IF($C151&gt;0,(IF($CC$7&gt;=$C151+1, (-FV(InflationRate,$CC$7,,$G151)), 0)),0)</f>
        <v>0</v>
      </c>
      <c r="CG151" s="160">
        <f>IF($C151&gt;0,(IF($C151=$CG$7,(-FV(InflationRate,$CG$7,,$D151)),0)),0)</f>
        <v>0</v>
      </c>
      <c r="CH151" s="150">
        <f>IF($C151&gt;0,(IF($CG$7&gt;=$C151+1, (-FV(InflationRate,$CG$7,,$E151)), 0)),0)</f>
        <v>0</v>
      </c>
      <c r="CI151" s="150">
        <f>IF($C151&gt;0,(IF($CG$7&gt;=$C151+1, (-FV(InflationRate,$CG$7,,$F151)), 0)),0)</f>
        <v>0</v>
      </c>
      <c r="CJ151" s="176">
        <f>IF($C151&gt;0,(IF($CG$7&gt;=$C151+1, (-FV(InflationRate,$CG$7,,$G151)), 0)),0)</f>
        <v>0</v>
      </c>
      <c r="CK151" s="168">
        <f>IF($C151&gt;0,(IF($C151=$CK$7,(-FV(InflationRate,$CK$7,,$D151)),0)),0)</f>
        <v>0</v>
      </c>
      <c r="CL151" s="149">
        <f>IF($C151&gt;0,(IF($CK$7&gt;=$C151+1, (-FV(InflationRate,$CK$7,,$E151)), 0)),0)</f>
        <v>0</v>
      </c>
      <c r="CM151" s="149">
        <f>IF($C151&gt;0,(IF($CK$7&gt;=$C151+1, (-FV(InflationRate,$CK$7,,$F151)), 0)),0)</f>
        <v>0</v>
      </c>
      <c r="CN151" s="157">
        <f>IF($C151&gt;0,(IF($CK$7&gt;=$C151+1, (-FV(InflationRate,$CK$7,,$G151)), 0)),0)</f>
        <v>0</v>
      </c>
      <c r="CO151" s="160">
        <f>IF($C151&gt;0,(IF($C151=$CO$7,(-FV(InflationRate,$CO$7,,$D151)),0)),0)</f>
        <v>0</v>
      </c>
      <c r="CP151" s="150">
        <f>IF($C151&gt;0,(IF($CO$7&gt;=$C151+1, (-FV(InflationRate,$CO$7,,$E151)), 0)),0)</f>
        <v>0</v>
      </c>
      <c r="CQ151" s="150">
        <f>IF($C151&gt;0,(IF($CO$7&gt;=$C151+1, (-FV(InflationRate,$CO$7,,$F151)), 0)),0)</f>
        <v>0</v>
      </c>
      <c r="CR151" s="176">
        <f>IF($C151&gt;0,(IF($CO$7&gt;=$C151+1, (-FV(InflationRate,$CO$7,,$G151)), 0)),0)</f>
        <v>0</v>
      </c>
      <c r="CS151" s="168">
        <f>IF($C151&gt;0,(IF($C151=$CS$7,(-FV(InflationRate,$CS$7,,$D151)),0)),0)</f>
        <v>0</v>
      </c>
      <c r="CT151" s="149">
        <f>IF($C151&gt;0,(IF($CS$7&gt;=$C151+1, (-FV(InflationRate,$CS$7,,$E151)), 0)),0)</f>
        <v>0</v>
      </c>
      <c r="CU151" s="149">
        <f>IF($C151&gt;0,(IF($CS$7&gt;=$C151+1, (-FV(InflationRate,$CS$7,,$F151)), 0)),0)</f>
        <v>0</v>
      </c>
      <c r="CV151" s="157">
        <f>IF($C151&gt;0,(IF($CS$7&gt;=$C151+1, (-FV(InflationRate,$CS$7,,$G151)), 0)),0)</f>
        <v>0</v>
      </c>
      <c r="CW151" s="160">
        <f>IF($C151&gt;0,(IF($C151=$CW$7,(-FV(InflationRate,$CW$7,,$D151)),0)),0)</f>
        <v>0</v>
      </c>
      <c r="CX151" s="150">
        <f>IF($C151&gt;0,(IF($CW$7&gt;=$C151+1, (-FV(InflationRate,$CW$7,,$E151)), 0)),0)</f>
        <v>0</v>
      </c>
      <c r="CY151" s="150">
        <f>IF($C151&gt;0,(IF($CW$7&gt;=$C151+1, (-FV(InflationRate,$CW$7,,$F151)), 0)),0)</f>
        <v>0</v>
      </c>
      <c r="CZ151" s="176">
        <f>IF($C151&gt;0,(IF($CW$7&gt;=$C151+1, (-FV(InflationRate,$CW$7,,$G151)), 0)),0)</f>
        <v>0</v>
      </c>
      <c r="DA151" s="168">
        <f>IF($C151&gt;0,(IF($C151=$DA$7,(-FV(InflationRate,$DA$7,,$D151)),0)),0)</f>
        <v>0</v>
      </c>
      <c r="DB151" s="149">
        <f>IF($C151&gt;0,(IF($DA$7&gt;=$C151+1, (-FV(InflationRate,$DA$7,,$E151)), 0)),0)</f>
        <v>0</v>
      </c>
      <c r="DC151" s="149">
        <f>IF($C151&gt;0,(IF($DA$7&gt;=$C151+1, (-FV(InflationRate,$DA$7,,$F151)), 0)),0)</f>
        <v>0</v>
      </c>
      <c r="DD151" s="157">
        <f>IF($C151&gt;0,(IF($DA$7&gt;=$C151+1, (-FV(InflationRate,$DA$7,,$G151)), 0)),0)</f>
        <v>0</v>
      </c>
    </row>
    <row r="152" spans="2:108" ht="12" hidden="1" customHeight="1" x14ac:dyDescent="0.2">
      <c r="B152" s="183" t="s">
        <v>270</v>
      </c>
      <c r="C152" s="556"/>
      <c r="D152" s="168">
        <f>D150-D151</f>
        <v>0</v>
      </c>
      <c r="E152" s="149">
        <f>E150</f>
        <v>0</v>
      </c>
      <c r="F152" s="149"/>
      <c r="G152" s="149">
        <f>G150</f>
        <v>0</v>
      </c>
      <c r="H152" s="168">
        <f>SUM(I152:AB152)</f>
        <v>0</v>
      </c>
      <c r="I152" s="610">
        <f>-PV(InterestRate,I$8,,(SUM(AC152:AF152)))</f>
        <v>0</v>
      </c>
      <c r="J152" s="610">
        <f>-PV(InterestRate,J$8,,(SUM(AG152:AJ152)))</f>
        <v>0</v>
      </c>
      <c r="K152" s="610">
        <f>-PV(InterestRate,K$8,,(SUM(AK152:AN152)))</f>
        <v>0</v>
      </c>
      <c r="L152" s="610">
        <f>-PV(InterestRate,L$8,,(SUM(AO152:AR152)))</f>
        <v>0</v>
      </c>
      <c r="M152" s="610">
        <f>-PV(InterestRate,M$8,,(SUM(AS152:AV152)))</f>
        <v>0</v>
      </c>
      <c r="N152" s="610">
        <f>-PV(InterestRate,N$8,,(SUM(AW152:AZ152)))</f>
        <v>0</v>
      </c>
      <c r="O152" s="610">
        <f>-PV(InterestRate,O$8,,(SUM(BA152:BD152)))</f>
        <v>0</v>
      </c>
      <c r="P152" s="610">
        <f>-PV(InterestRate,P$8,,(SUM(BE152:BH152)))</f>
        <v>0</v>
      </c>
      <c r="Q152" s="610">
        <f>-PV(InterestRate,Q$8,,(SUM(BI152:BL152)))</f>
        <v>0</v>
      </c>
      <c r="R152" s="610">
        <f>-PV(InterestRate,R$8,,(SUM(BM152:BP152)))</f>
        <v>0</v>
      </c>
      <c r="S152" s="610">
        <f>-PV(InterestRate,S$8,,(SUM(BQ152:BT152)))</f>
        <v>0</v>
      </c>
      <c r="T152" s="610">
        <f>-PV(InterestRate,T$8,,(SUM(BU152:BX152)))</f>
        <v>0</v>
      </c>
      <c r="U152" s="610">
        <f>-PV(InterestRate,U$8,,(SUM(BY152:CB152)))</f>
        <v>0</v>
      </c>
      <c r="V152" s="610">
        <f>-PV(InterestRate,V$8,,(SUM(CC152:CF152)))</f>
        <v>0</v>
      </c>
      <c r="W152" s="610">
        <f>-PV(InterestRate,W$8,,(SUM(CG152:CJ152)))</f>
        <v>0</v>
      </c>
      <c r="X152" s="610">
        <f>-PV(InterestRate,X$8,,(SUM(CK152:CN152)))</f>
        <v>0</v>
      </c>
      <c r="Y152" s="610">
        <f>-PV(InterestRate,Y$8,,(SUM(CO152:CR152)))</f>
        <v>0</v>
      </c>
      <c r="Z152" s="610">
        <f>-PV(InterestRate,Z$8,,(SUM(CS152:CV152)))</f>
        <v>0</v>
      </c>
      <c r="AA152" s="610">
        <f>-PV(InterestRate,AA$8,,(SUM(CW152:CZ152)))</f>
        <v>0</v>
      </c>
      <c r="AB152" s="611">
        <f>-PV(InterestRate,AB$8,,(SUM(DA152:DD152)))</f>
        <v>0</v>
      </c>
      <c r="AC152" s="160"/>
      <c r="AD152" s="150"/>
      <c r="AE152" s="150"/>
      <c r="AF152" s="165"/>
      <c r="AG152" s="168"/>
      <c r="AH152" s="149"/>
      <c r="AI152" s="149"/>
      <c r="AJ152" s="171"/>
      <c r="AK152" s="160"/>
      <c r="AL152" s="150"/>
      <c r="AM152" s="150"/>
      <c r="AN152" s="165"/>
      <c r="AO152" s="168">
        <f>IF($C152&gt;0,(IF($C152=$AO$7,(-FV(InflationRate,$AO$7,,$D152)),0)),0)</f>
        <v>0</v>
      </c>
      <c r="AP152" s="149">
        <f>IF($C152&gt;0,(IF($AO$7&gt;=$C152+1, (-FV(InflationRate,$AO$7,,$E152)), 0)),0)</f>
        <v>0</v>
      </c>
      <c r="AQ152" s="149">
        <f>IF($C152&gt;0,(IF($AO$7&gt;=$C152+1, (-FV(InflationRate,$AO$7,,$F152)), 0)),0)</f>
        <v>0</v>
      </c>
      <c r="AR152" s="157">
        <f>IF($C152&gt;0,(IF($AO$7&gt;=$C152+1, (-FV(InflationRate,$AO$7,,$G152)), 0)),0)</f>
        <v>0</v>
      </c>
      <c r="AS152" s="160">
        <f>IF($C152&gt;0,(IF($C152=$AS$7,(-FV(InflationRate,$AS$7,,$D152)),0)),0)</f>
        <v>0</v>
      </c>
      <c r="AT152" s="150">
        <f>IF($C152&gt;0,(IF($AS$7&gt;=$C152+1, (-FV(InflationRate,$AS$7,,$E152)), 0)),0)</f>
        <v>0</v>
      </c>
      <c r="AU152" s="150">
        <f>IF($C152&gt;0,(IF($AS$7&gt;=$C152+1, (-FV(InflationRate,$AS$7,,$F152)), 0)),0)</f>
        <v>0</v>
      </c>
      <c r="AV152" s="165">
        <f>IF($C152&gt;0,(IF($AS$7&gt;=$C152+1, (-FV(InflationRate,$AS$7,,$G152)), 0)),0)</f>
        <v>0</v>
      </c>
      <c r="AW152" s="168">
        <f>IF($C152&gt;0,(IF($C152=$AW$7,(-FV(InflationRate,$AW$7,,$D152)),0)),0)</f>
        <v>0</v>
      </c>
      <c r="AX152" s="149">
        <f>IF($C152&gt;0,(IF($AW$7&gt;=$C152+1, (-FV(InflationRate,$AW$7,,$E152)), 0)),0)</f>
        <v>0</v>
      </c>
      <c r="AY152" s="149">
        <f>IF($C152&gt;0,(IF($AW$7&gt;=$C152+1, (-FV(InflationRate,$AW$7,,$F152)), 0)),0)</f>
        <v>0</v>
      </c>
      <c r="AZ152" s="157">
        <f>IF($C152&gt;0,(IF($AW$7&gt;=$C152+1, (-FV(InflationRate,$AW$7,,$G152)), 0)),0)</f>
        <v>0</v>
      </c>
      <c r="BA152" s="160">
        <f>IF($C152&gt;0,(IF($C152=$BA$7,(-FV(InflationRate,$BA$7,,$D152)),0)),0)</f>
        <v>0</v>
      </c>
      <c r="BB152" s="150">
        <f>IF($C152&gt;0,(IF($BA$7&gt;=$C152+1, (-FV(InflationRate,$BA$7,,$E152)), 0)),0)</f>
        <v>0</v>
      </c>
      <c r="BC152" s="150">
        <f>IF($C152&gt;0,(IF($BA$7&gt;=$C152+1, (-FV(InflationRate,$BA$7,,$F152)), 0)),0)</f>
        <v>0</v>
      </c>
      <c r="BD152" s="176">
        <f>IF($C152&gt;0,(IF($BA$7&gt;=$C152+1, (-FV(InflationRate,$BA$7,,$G152)), 0)),0)</f>
        <v>0</v>
      </c>
      <c r="BE152" s="168">
        <f>IF($C152&gt;0,(IF($C152=$BE$7,(-FV(InflationRate,$BE$7,,$D152)),0)),0)</f>
        <v>0</v>
      </c>
      <c r="BF152" s="149">
        <f>IF($C152&gt;0,(IF($BE$7&gt;=$C152+1, (-FV(InflationRate,$BE$7,,$E152)), 0)),0)</f>
        <v>0</v>
      </c>
      <c r="BG152" s="149">
        <f>IF($C152&gt;0,(IF($BE$7&gt;=$C152+1, (-FV(InflationRate,$BE$7,,$F152)), 0)),0)</f>
        <v>0</v>
      </c>
      <c r="BH152" s="171">
        <f>IF($C152&gt;0,(IF($BE$7&gt;=$C152+1, (-FV(InflationRate,$BE$7,,$G152)), 0)),0)</f>
        <v>0</v>
      </c>
      <c r="BI152" s="160">
        <f>IF($C152&gt;0,(IF($C152=$BI$7,(-FV(InflationRate,$BI$7,,$D152)),0)),0)</f>
        <v>0</v>
      </c>
      <c r="BJ152" s="150">
        <f>IF($C152&gt;0,(IF($BI$7&gt;=$C152+1, (-FV(InflationRate,$BI$7,,$E152)), 0)),0)</f>
        <v>0</v>
      </c>
      <c r="BK152" s="150">
        <f>IF($C152&gt;0,(IF($BI$7&gt;=$C152+1, (-FV(InflationRate,$BI$7,,$F152)), 0)),0)</f>
        <v>0</v>
      </c>
      <c r="BL152" s="176">
        <f>IF($C152&gt;0,(IF($BI$7&gt;=$C152+1, (-FV(InflationRate,$BI$7,,$G152)), 0)),0)</f>
        <v>0</v>
      </c>
      <c r="BM152" s="168">
        <f>IF($C152&gt;0,(IF($C152=$BM$7,(-FV(InflationRate,$BM$7,,$D152)),0)),0)</f>
        <v>0</v>
      </c>
      <c r="BN152" s="149">
        <f>IF($C152&gt;0,(IF($BM$7&gt;=$C152+1, (-FV(InflationRate,$BM$7,,$E152)), 0)),0)</f>
        <v>0</v>
      </c>
      <c r="BO152" s="149">
        <f>IF($C152&gt;0,(IF($BM$7&gt;=$C152+1, (-FV(InflationRate,$BM$7,,$F152)), 0)),0)</f>
        <v>0</v>
      </c>
      <c r="BP152" s="157">
        <f>IF($C152&gt;0,(IF($BM$7&gt;=$C152+1, (-FV(InflationRate,$BM$7,,$G152)), 0)),0)</f>
        <v>0</v>
      </c>
      <c r="BQ152" s="160">
        <f>IF($C152&gt;0,(IF($C152=$BQ$7,(-FV(InflationRate,$BQ$7,,$D152)),0)),0)</f>
        <v>0</v>
      </c>
      <c r="BR152" s="150">
        <f>IF($C152&gt;0,(IF($BQ$7&gt;=$C152+1, (-FV(InflationRate,$BQ$7,,$E152)), 0)),0)</f>
        <v>0</v>
      </c>
      <c r="BS152" s="150">
        <f>IF($C152&gt;0,(IF($BQ$7&gt;=$C152+1, (-FV(InflationRate,$BQ$7,,$F152)), 0)),0)</f>
        <v>0</v>
      </c>
      <c r="BT152" s="176">
        <f>IF($C152&gt;0,(IF($BQ$7&gt;=$C152+1, (-FV(InflationRate,$BQ$7,,$G152)), 0)),0)</f>
        <v>0</v>
      </c>
      <c r="BU152" s="168">
        <f>IF($C152&gt;0,(IF($C152=$BU$7,(-FV(InflationRate,$BU$7,,$D152)),0)),0)</f>
        <v>0</v>
      </c>
      <c r="BV152" s="149">
        <f>IF($C152&gt;0,(IF($BU$7&gt;=$C152+1, (-FV(InflationRate,$BU$7,,$E152)), 0)),0)</f>
        <v>0</v>
      </c>
      <c r="BW152" s="149">
        <f>IF($C152&gt;0,(IF($BU$7&gt;=$C152+1, (-FV(InflationRate,$BU$7,,$F152)), 0)),0)</f>
        <v>0</v>
      </c>
      <c r="BX152" s="157">
        <f>IF($C152&gt;0,(IF($BU$7&gt;=$C152+1, (-FV(InflationRate,$BU$7,,$G152)), 0)),0)</f>
        <v>0</v>
      </c>
      <c r="BY152" s="160">
        <f>IF($C152&gt;0,(IF($C152=$BY$7,(-FV(InflationRate,$BY$7,,$D152)),0)),0)</f>
        <v>0</v>
      </c>
      <c r="BZ152" s="150">
        <f>IF($C152&gt;0,(IF($BY$7&gt;=$C152+1, (-FV(InflationRate,$BY$7,,$E152)), 0)),0)</f>
        <v>0</v>
      </c>
      <c r="CA152" s="150">
        <f>IF($C152&gt;0,(IF($BY$7&gt;=$C152+1, (-FV(InflationRate,$BY$7,,$F152)), 0)),0)</f>
        <v>0</v>
      </c>
      <c r="CB152" s="176">
        <f>IF($C152&gt;0,(IF($BY$7&gt;=$C152+1, (-FV(InflationRate,$BY$7,,$G152)), 0)),0)</f>
        <v>0</v>
      </c>
      <c r="CC152" s="168">
        <f>IF($C152&gt;0,(IF($C152=$CC$7,(-FV(InflationRate,$CC$7,,$D152)),0)),0)</f>
        <v>0</v>
      </c>
      <c r="CD152" s="149">
        <f>IF($C152&gt;0,(IF($CC$7&gt;=$C152+1, (-FV(InflationRate,$CC$7,,$E152)), 0)),0)</f>
        <v>0</v>
      </c>
      <c r="CE152" s="149">
        <f>IF($C152&gt;0,(IF($CC$7&gt;=$C152+1, (-FV(InflationRate,$CC$7,,$F152)), 0)),0)</f>
        <v>0</v>
      </c>
      <c r="CF152" s="157">
        <f>IF($C152&gt;0,(IF($CC$7&gt;=$C152+1, (-FV(InflationRate,$CC$7,,$G152)), 0)),0)</f>
        <v>0</v>
      </c>
      <c r="CG152" s="160">
        <f>IF($C152&gt;0,(IF($C152=$CG$7,(-FV(InflationRate,$CG$7,,$D152)),0)),0)</f>
        <v>0</v>
      </c>
      <c r="CH152" s="150">
        <f>IF($C152&gt;0,(IF($CG$7&gt;=$C152+1, (-FV(InflationRate,$CG$7,,$E152)), 0)),0)</f>
        <v>0</v>
      </c>
      <c r="CI152" s="150">
        <f>IF($C152&gt;0,(IF($CG$7&gt;=$C152+1, (-FV(InflationRate,$CG$7,,$F152)), 0)),0)</f>
        <v>0</v>
      </c>
      <c r="CJ152" s="176">
        <f>IF($C152&gt;0,(IF($CG$7&gt;=$C152+1, (-FV(InflationRate,$CG$7,,$G152)), 0)),0)</f>
        <v>0</v>
      </c>
      <c r="CK152" s="168">
        <f>IF($C152&gt;0,(IF($C152=$CK$7,(-FV(InflationRate,$CK$7,,$D152)),0)),0)</f>
        <v>0</v>
      </c>
      <c r="CL152" s="149">
        <f>IF($C152&gt;0,(IF($CK$7&gt;=$C152+1, (-FV(InflationRate,$CK$7,,$E152)), 0)),0)</f>
        <v>0</v>
      </c>
      <c r="CM152" s="149">
        <f>IF($C152&gt;0,(IF($CK$7&gt;=$C152+1, (-FV(InflationRate,$CK$7,,$F152)), 0)),0)</f>
        <v>0</v>
      </c>
      <c r="CN152" s="157">
        <f>IF($C152&gt;0,(IF($CK$7&gt;=$C152+1, (-FV(InflationRate,$CK$7,,$G152)), 0)),0)</f>
        <v>0</v>
      </c>
      <c r="CO152" s="160">
        <f>IF($C152&gt;0,(IF($C152=$CO$7,(-FV(InflationRate,$CO$7,,$D152)),0)),0)</f>
        <v>0</v>
      </c>
      <c r="CP152" s="150">
        <f>IF($C152&gt;0,(IF($CO$7&gt;=$C152+1, (-FV(InflationRate,$CO$7,,$E152)), 0)),0)</f>
        <v>0</v>
      </c>
      <c r="CQ152" s="150">
        <f>IF($C152&gt;0,(IF($CO$7&gt;=$C152+1, (-FV(InflationRate,$CO$7,,$F152)), 0)),0)</f>
        <v>0</v>
      </c>
      <c r="CR152" s="176">
        <f>IF($C152&gt;0,(IF($CO$7&gt;=$C152+1, (-FV(InflationRate,$CO$7,,$G152)), 0)),0)</f>
        <v>0</v>
      </c>
      <c r="CS152" s="168">
        <f>IF($C152&gt;0,(IF($C152=$CS$7,(-FV(InflationRate,$CS$7,,$D152)),0)),0)</f>
        <v>0</v>
      </c>
      <c r="CT152" s="149">
        <f>IF($C152&gt;0,(IF($CS$7&gt;=$C152+1, (-FV(InflationRate,$CS$7,,$E152)), 0)),0)</f>
        <v>0</v>
      </c>
      <c r="CU152" s="149">
        <f>IF($C152&gt;0,(IF($CS$7&gt;=$C152+1, (-FV(InflationRate,$CS$7,,$F152)), 0)),0)</f>
        <v>0</v>
      </c>
      <c r="CV152" s="157">
        <f>IF($C152&gt;0,(IF($CS$7&gt;=$C152+1, (-FV(InflationRate,$CS$7,,$G152)), 0)),0)</f>
        <v>0</v>
      </c>
      <c r="CW152" s="160">
        <f>IF($C152&gt;0,(IF($C152=$CW$7,(-FV(InflationRate,$CW$7,,$D152)),0)),0)</f>
        <v>0</v>
      </c>
      <c r="CX152" s="150">
        <f>IF($C152&gt;0,(IF($CW$7&gt;=$C152+1, (-FV(InflationRate,$CW$7,,$E152)), 0)),0)</f>
        <v>0</v>
      </c>
      <c r="CY152" s="150">
        <f>IF($C152&gt;0,(IF($CW$7&gt;=$C152+1, (-FV(InflationRate,$CW$7,,$F152)), 0)),0)</f>
        <v>0</v>
      </c>
      <c r="CZ152" s="176">
        <f>IF($C152&gt;0,(IF($CW$7&gt;=$C152+1, (-FV(InflationRate,$CW$7,,$G152)), 0)),0)</f>
        <v>0</v>
      </c>
      <c r="DA152" s="168">
        <f>IF($C152&gt;0,(IF($C152=$DA$7,(-FV(InflationRate,$DA$7,,$D152)),0)),0)</f>
        <v>0</v>
      </c>
      <c r="DB152" s="149">
        <f>IF($C152&gt;0,(IF($DA$7&gt;=$C152+1, (-FV(InflationRate,$DA$7,,$E152)), 0)),0)</f>
        <v>0</v>
      </c>
      <c r="DC152" s="149">
        <f>IF($C152&gt;0,(IF($DA$7&gt;=$C152+1, (-FV(InflationRate,$DA$7,,$F152)), 0)),0)</f>
        <v>0</v>
      </c>
      <c r="DD152" s="157">
        <f>IF($C152&gt;0,(IF($DA$7&gt;=$C152+1, (-FV(InflationRate,$DA$7,,$G152)), 0)),0)</f>
        <v>0</v>
      </c>
    </row>
    <row r="153" spans="2:108" ht="12" hidden="1" customHeight="1" x14ac:dyDescent="0.2">
      <c r="B153" s="183" t="s">
        <v>203</v>
      </c>
      <c r="C153" s="556"/>
      <c r="D153" s="168"/>
      <c r="E153" s="149"/>
      <c r="F153" s="149">
        <f>F150</f>
        <v>0</v>
      </c>
      <c r="G153" s="149"/>
      <c r="H153" s="168">
        <f>SUM(I153:AB153)</f>
        <v>0</v>
      </c>
      <c r="I153" s="610">
        <f>-PV(InterestRate,I$8,,(SUM(AC153:AF153)))</f>
        <v>0</v>
      </c>
      <c r="J153" s="610">
        <f>-PV(InterestRate,J$8,,(SUM(AG153:AJ153)))</f>
        <v>0</v>
      </c>
      <c r="K153" s="610">
        <f>-PV(InterestRate,K$8,,(SUM(AK153:AN153)))</f>
        <v>0</v>
      </c>
      <c r="L153" s="610">
        <f>-PV(InterestRate,L$8,,(SUM(AO153:AR153)))</f>
        <v>0</v>
      </c>
      <c r="M153" s="610">
        <f>-PV(InterestRate,M$8,,(SUM(AS153:AV153)))</f>
        <v>0</v>
      </c>
      <c r="N153" s="610">
        <f>-PV(InterestRate,N$8,,(SUM(AW153:AZ153)))</f>
        <v>0</v>
      </c>
      <c r="O153" s="610">
        <f>-PV(InterestRate,O$8,,(SUM(BA153:BD153)))</f>
        <v>0</v>
      </c>
      <c r="P153" s="610">
        <f>-PV(InterestRate,P$8,,(SUM(BE153:BH153)))</f>
        <v>0</v>
      </c>
      <c r="Q153" s="610">
        <f>-PV(InterestRate,Q$8,,(SUM(BI153:BL153)))</f>
        <v>0</v>
      </c>
      <c r="R153" s="610">
        <f>-PV(InterestRate,R$8,,(SUM(BM153:BP153)))</f>
        <v>0</v>
      </c>
      <c r="S153" s="610">
        <f>-PV(InterestRate,S$8,,(SUM(BQ153:BT153)))</f>
        <v>0</v>
      </c>
      <c r="T153" s="610">
        <f>-PV(InterestRate,T$8,,(SUM(BU153:BX153)))</f>
        <v>0</v>
      </c>
      <c r="U153" s="610">
        <f>-PV(InterestRate,U$8,,(SUM(BY153:CB153)))</f>
        <v>0</v>
      </c>
      <c r="V153" s="610">
        <f>-PV(InterestRate,V$8,,(SUM(CC153:CF153)))</f>
        <v>0</v>
      </c>
      <c r="W153" s="610">
        <f>-PV(InterestRate,W$8,,(SUM(CG153:CJ153)))</f>
        <v>0</v>
      </c>
      <c r="X153" s="610">
        <f>-PV(InterestRate,X$8,,(SUM(CK153:CN153)))</f>
        <v>0</v>
      </c>
      <c r="Y153" s="610">
        <f>-PV(InterestRate,Y$8,,(SUM(CO153:CR153)))</f>
        <v>0</v>
      </c>
      <c r="Z153" s="610">
        <f>-PV(InterestRate,Z$8,,(SUM(CS153:CV153)))</f>
        <v>0</v>
      </c>
      <c r="AA153" s="610">
        <f>-PV(InterestRate,AA$8,,(SUM(CW153:CZ153)))</f>
        <v>0</v>
      </c>
      <c r="AB153" s="611">
        <f>-PV(InterestRate,AB$8,,(SUM(DA153:DD153)))</f>
        <v>0</v>
      </c>
      <c r="AC153" s="160"/>
      <c r="AD153" s="150"/>
      <c r="AE153" s="150"/>
      <c r="AF153" s="165"/>
      <c r="AG153" s="168"/>
      <c r="AH153" s="149"/>
      <c r="AI153" s="149"/>
      <c r="AJ153" s="171"/>
      <c r="AK153" s="160"/>
      <c r="AL153" s="150"/>
      <c r="AM153" s="150"/>
      <c r="AN153" s="165"/>
      <c r="AO153" s="168">
        <f>IF($C153&gt;0,(IF($C153=$AO$7,(-FV(InflationRate,$AO$7,,$D153)),0)),0)</f>
        <v>0</v>
      </c>
      <c r="AP153" s="149">
        <f>IF($C153&gt;0,(IF($AO$7&gt;=$C153+1, (-FV(InflationRate,$AO$7,,$E153)), 0)),0)</f>
        <v>0</v>
      </c>
      <c r="AQ153" s="149">
        <f>IF($C153&gt;0,(IF($AO$7&gt;=$C153+1, (-FV(InflationRate,$AO$7,,$F153)), 0)),0)</f>
        <v>0</v>
      </c>
      <c r="AR153" s="157">
        <f>IF($C153&gt;0,(IF($AO$7&gt;=$C153+1, (-FV(InflationRate,$AO$7,,$G153)), 0)),0)</f>
        <v>0</v>
      </c>
      <c r="AS153" s="160">
        <f>IF($C153&gt;0,(IF($C153=$AS$7,(-FV(InflationRate,$AS$7,,$D153)),0)),0)</f>
        <v>0</v>
      </c>
      <c r="AT153" s="150">
        <f>IF($C153&gt;0,(IF($AS$7&gt;=$C153+1, (-FV(InflationRate,$AS$7,,$E153)), 0)),0)</f>
        <v>0</v>
      </c>
      <c r="AU153" s="150">
        <f>IF($C153&gt;0,(IF($AS$7&gt;=$C153+1, (-FV(InflationRate,$AS$7,,$F153)), 0)),0)</f>
        <v>0</v>
      </c>
      <c r="AV153" s="165">
        <f>IF($C153&gt;0,(IF($AS$7&gt;=$C153+1, (-FV(InflationRate,$AS$7,,$G153)), 0)),0)</f>
        <v>0</v>
      </c>
      <c r="AW153" s="168">
        <f>IF($C153&gt;0,(IF($C153=$AW$7,(-FV(InflationRate,$AW$7,,$D153)),0)),0)</f>
        <v>0</v>
      </c>
      <c r="AX153" s="149">
        <f>IF($C153&gt;0,(IF($AW$7&gt;=$C153+1, (-FV(InflationRate,$AW$7,,$E153)), 0)),0)</f>
        <v>0</v>
      </c>
      <c r="AY153" s="149">
        <f>IF($C153&gt;0,(IF($AW$7&gt;=$C153+1, (-FV(InflationRate,$AW$7,,$F153)), 0)),0)</f>
        <v>0</v>
      </c>
      <c r="AZ153" s="157">
        <f>IF($C153&gt;0,(IF($AW$7&gt;=$C153+1, (-FV(InflationRate,$AW$7,,$G153)), 0)),0)</f>
        <v>0</v>
      </c>
      <c r="BA153" s="160">
        <f>IF($C153&gt;0,(IF($C153=$BA$7,(-FV(InflationRate,$BA$7,,$D153)),0)),0)</f>
        <v>0</v>
      </c>
      <c r="BB153" s="150">
        <f>IF($C153&gt;0,(IF($BA$7&gt;=$C153+1, (-FV(InflationRate,$BA$7,,$E153)), 0)),0)</f>
        <v>0</v>
      </c>
      <c r="BC153" s="150">
        <f>IF($C153&gt;0,(IF($BA$7&gt;=$C153+1, (-FV(InflationRate,$BA$7,,$F153)), 0)),0)</f>
        <v>0</v>
      </c>
      <c r="BD153" s="176">
        <f>IF($C153&gt;0,(IF($BA$7&gt;=$C153+1, (-FV(InflationRate,$BA$7,,$G153)), 0)),0)</f>
        <v>0</v>
      </c>
      <c r="BE153" s="168">
        <f>IF($C153&gt;0,(IF($C153=$BE$7,(-FV(InflationRate,$BE$7,,$D153)),0)),0)</f>
        <v>0</v>
      </c>
      <c r="BF153" s="149">
        <f>IF($C153&gt;0,(IF($BE$7&gt;=$C153+1, (-FV(InflationRate,$BE$7,,$E153)), 0)),0)</f>
        <v>0</v>
      </c>
      <c r="BG153" s="149">
        <f>IF($C153&gt;0,(IF($BE$7&gt;=$C153+1, (-FV(InflationRate,$BE$7,,$F153)), 0)),0)</f>
        <v>0</v>
      </c>
      <c r="BH153" s="171">
        <f>IF($C153&gt;0,(IF($BE$7&gt;=$C153+1, (-FV(InflationRate,$BE$7,,$G153)), 0)),0)</f>
        <v>0</v>
      </c>
      <c r="BI153" s="160">
        <f>IF($C153&gt;0,(IF($C153=$BI$7,(-FV(InflationRate,$BI$7,,$D153)),0)),0)</f>
        <v>0</v>
      </c>
      <c r="BJ153" s="150">
        <f>IF($C153&gt;0,(IF($BI$7&gt;=$C153+1, (-FV(InflationRate,$BI$7,,$E153)), 0)),0)</f>
        <v>0</v>
      </c>
      <c r="BK153" s="150">
        <f>IF($C153&gt;0,(IF($BI$7&gt;=$C153+1, (-FV(InflationRate,$BI$7,,$F153)), 0)),0)</f>
        <v>0</v>
      </c>
      <c r="BL153" s="176">
        <f>IF($C153&gt;0,(IF($BI$7&gt;=$C153+1, (-FV(InflationRate,$BI$7,,$G153)), 0)),0)</f>
        <v>0</v>
      </c>
      <c r="BM153" s="168">
        <f>IF($C153&gt;0,(IF($C153=$BM$7,(-FV(InflationRate,$BM$7,,$D153)),0)),0)</f>
        <v>0</v>
      </c>
      <c r="BN153" s="149">
        <f>IF($C153&gt;0,(IF($BM$7&gt;=$C153+1, (-FV(InflationRate,$BM$7,,$E153)), 0)),0)</f>
        <v>0</v>
      </c>
      <c r="BO153" s="149">
        <f>IF($C153&gt;0,(IF($BM$7&gt;=$C153+1, (-FV(InflationRate,$BM$7,,$F153)), 0)),0)</f>
        <v>0</v>
      </c>
      <c r="BP153" s="157">
        <f>IF($C153&gt;0,(IF($BM$7&gt;=$C153+1, (-FV(InflationRate,$BM$7,,$G153)), 0)),0)</f>
        <v>0</v>
      </c>
      <c r="BQ153" s="160">
        <f>IF($C153&gt;0,(IF($C153=$BQ$7,(-FV(InflationRate,$BQ$7,,$D153)),0)),0)</f>
        <v>0</v>
      </c>
      <c r="BR153" s="150">
        <f>IF($C153&gt;0,(IF($BQ$7&gt;=$C153+1, (-FV(InflationRate,$BQ$7,,$E153)), 0)),0)</f>
        <v>0</v>
      </c>
      <c r="BS153" s="150">
        <f>IF($C153&gt;0,(IF($BQ$7&gt;=$C153+1, (-FV(InflationRate,$BQ$7,,$F153)), 0)),0)</f>
        <v>0</v>
      </c>
      <c r="BT153" s="176">
        <f>IF($C153&gt;0,(IF($BQ$7&gt;=$C153+1, (-FV(InflationRate,$BQ$7,,$G153)), 0)),0)</f>
        <v>0</v>
      </c>
      <c r="BU153" s="168">
        <f>IF($C153&gt;0,(IF($C153=$BU$7,(-FV(InflationRate,$BU$7,,$D153)),0)),0)</f>
        <v>0</v>
      </c>
      <c r="BV153" s="149">
        <f>IF($C153&gt;0,(IF($BU$7&gt;=$C153+1, (-FV(InflationRate,$BU$7,,$E153)), 0)),0)</f>
        <v>0</v>
      </c>
      <c r="BW153" s="149">
        <f>IF($C153&gt;0,(IF($BU$7&gt;=$C153+1, (-FV(InflationRate,$BU$7,,$F153)), 0)),0)</f>
        <v>0</v>
      </c>
      <c r="BX153" s="157">
        <f>IF($C153&gt;0,(IF($BU$7&gt;=$C153+1, (-FV(InflationRate,$BU$7,,$G153)), 0)),0)</f>
        <v>0</v>
      </c>
      <c r="BY153" s="160">
        <f>IF($C153&gt;0,(IF($C153=$BY$7,(-FV(InflationRate,$BY$7,,$D153)),0)),0)</f>
        <v>0</v>
      </c>
      <c r="BZ153" s="150">
        <f>IF($C153&gt;0,(IF($BY$7&gt;=$C153+1, (-FV(InflationRate,$BY$7,,$E153)), 0)),0)</f>
        <v>0</v>
      </c>
      <c r="CA153" s="150">
        <f>IF($C153&gt;0,(IF($BY$7&gt;=$C153+1, (-FV(InflationRate,$BY$7,,$F153)), 0)),0)</f>
        <v>0</v>
      </c>
      <c r="CB153" s="176">
        <f>IF($C153&gt;0,(IF($BY$7&gt;=$C153+1, (-FV(InflationRate,$BY$7,,$G153)), 0)),0)</f>
        <v>0</v>
      </c>
      <c r="CC153" s="168">
        <f>IF($C153&gt;0,(IF($C153=$CC$7,(-FV(InflationRate,$CC$7,,$D153)),0)),0)</f>
        <v>0</v>
      </c>
      <c r="CD153" s="149">
        <f>IF($C153&gt;0,(IF($CC$7&gt;=$C153+1, (-FV(InflationRate,$CC$7,,$E153)), 0)),0)</f>
        <v>0</v>
      </c>
      <c r="CE153" s="149">
        <f>IF($C153&gt;0,(IF($CC$7&gt;=$C153+1, (-FV(InflationRate,$CC$7,,$F153)), 0)),0)</f>
        <v>0</v>
      </c>
      <c r="CF153" s="157">
        <f>IF($C153&gt;0,(IF($CC$7&gt;=$C153+1, (-FV(InflationRate,$CC$7,,$G153)), 0)),0)</f>
        <v>0</v>
      </c>
      <c r="CG153" s="160">
        <f>IF($C153&gt;0,(IF($C153=$CG$7,(-FV(InflationRate,$CG$7,,$D153)),0)),0)</f>
        <v>0</v>
      </c>
      <c r="CH153" s="150">
        <f>IF($C153&gt;0,(IF($CG$7&gt;=$C153+1, (-FV(InflationRate,$CG$7,,$E153)), 0)),0)</f>
        <v>0</v>
      </c>
      <c r="CI153" s="150">
        <f>IF($C153&gt;0,(IF($CG$7&gt;=$C153+1, (-FV(InflationRate,$CG$7,,$F153)), 0)),0)</f>
        <v>0</v>
      </c>
      <c r="CJ153" s="176">
        <f>IF($C153&gt;0,(IF($CG$7&gt;=$C153+1, (-FV(InflationRate,$CG$7,,$G153)), 0)),0)</f>
        <v>0</v>
      </c>
      <c r="CK153" s="168">
        <f>IF($C153&gt;0,(IF($C153=$CK$7,(-FV(InflationRate,$CK$7,,$D153)),0)),0)</f>
        <v>0</v>
      </c>
      <c r="CL153" s="149">
        <f>IF($C153&gt;0,(IF($CK$7&gt;=$C153+1, (-FV(InflationRate,$CK$7,,$E153)), 0)),0)</f>
        <v>0</v>
      </c>
      <c r="CM153" s="149">
        <f>IF($C153&gt;0,(IF($CK$7&gt;=$C153+1, (-FV(InflationRate,$CK$7,,$F153)), 0)),0)</f>
        <v>0</v>
      </c>
      <c r="CN153" s="157">
        <f>IF($C153&gt;0,(IF($CK$7&gt;=$C153+1, (-FV(InflationRate,$CK$7,,$G153)), 0)),0)</f>
        <v>0</v>
      </c>
      <c r="CO153" s="160">
        <f>IF($C153&gt;0,(IF($C153=$CO$7,(-FV(InflationRate,$CO$7,,$D153)),0)),0)</f>
        <v>0</v>
      </c>
      <c r="CP153" s="150">
        <f>IF($C153&gt;0,(IF($CO$7&gt;=$C153+1, (-FV(InflationRate,$CO$7,,$E153)), 0)),0)</f>
        <v>0</v>
      </c>
      <c r="CQ153" s="150">
        <f>IF($C153&gt;0,(IF($CO$7&gt;=$C153+1, (-FV(InflationRate,$CO$7,,$F153)), 0)),0)</f>
        <v>0</v>
      </c>
      <c r="CR153" s="176">
        <f>IF($C153&gt;0,(IF($CO$7&gt;=$C153+1, (-FV(InflationRate,$CO$7,,$G153)), 0)),0)</f>
        <v>0</v>
      </c>
      <c r="CS153" s="168">
        <f>IF($C153&gt;0,(IF($C153=$CS$7,(-FV(InflationRate,$CS$7,,$D153)),0)),0)</f>
        <v>0</v>
      </c>
      <c r="CT153" s="149">
        <f>IF($C153&gt;0,(IF($CS$7&gt;=$C153+1, (-FV(InflationRate,$CS$7,,$E153)), 0)),0)</f>
        <v>0</v>
      </c>
      <c r="CU153" s="149">
        <f>IF($C153&gt;0,(IF($CS$7&gt;=$C153+1, (-FV(InflationRate,$CS$7,,$F153)), 0)),0)</f>
        <v>0</v>
      </c>
      <c r="CV153" s="157">
        <f>IF($C153&gt;0,(IF($CS$7&gt;=$C153+1, (-FV(InflationRate,$CS$7,,$G153)), 0)),0)</f>
        <v>0</v>
      </c>
      <c r="CW153" s="160">
        <f>IF($C153&gt;0,(IF($C153=$CW$7,(-FV(InflationRate,$CW$7,,$D153)),0)),0)</f>
        <v>0</v>
      </c>
      <c r="CX153" s="150">
        <f>IF($C153&gt;0,(IF($CW$7&gt;=$C153+1, (-FV(InflationRate,$CW$7,,$E153)), 0)),0)</f>
        <v>0</v>
      </c>
      <c r="CY153" s="150">
        <f>IF($C153&gt;0,(IF($CW$7&gt;=$C153+1, (-FV(InflationRate,$CW$7,,$F153)), 0)),0)</f>
        <v>0</v>
      </c>
      <c r="CZ153" s="176">
        <f>IF($C153&gt;0,(IF($CW$7&gt;=$C153+1, (-FV(InflationRate,$CW$7,,$G153)), 0)),0)</f>
        <v>0</v>
      </c>
      <c r="DA153" s="168">
        <f>IF($C153&gt;0,(IF($C153=$DA$7,(-FV(InflationRate,$DA$7,,$D153)),0)),0)</f>
        <v>0</v>
      </c>
      <c r="DB153" s="149">
        <f>IF($C153&gt;0,(IF($DA$7&gt;=$C153+1, (-FV(InflationRate,$DA$7,,$E153)), 0)),0)</f>
        <v>0</v>
      </c>
      <c r="DC153" s="149">
        <f>IF($C153&gt;0,(IF($DA$7&gt;=$C153+1, (-FV(InflationRate,$DA$7,,$F153)), 0)),0)</f>
        <v>0</v>
      </c>
      <c r="DD153" s="157">
        <f>IF($C153&gt;0,(IF($DA$7&gt;=$C153+1, (-FV(InflationRate,$DA$7,,$G153)), 0)),0)</f>
        <v>0</v>
      </c>
    </row>
    <row r="154" spans="2:108" ht="12" hidden="1" customHeight="1" x14ac:dyDescent="0.2">
      <c r="B154" s="183"/>
      <c r="C154" s="189"/>
      <c r="D154" s="168"/>
      <c r="E154" s="149"/>
      <c r="F154" s="149"/>
      <c r="G154" s="149"/>
      <c r="H154" s="168"/>
      <c r="I154" s="600"/>
      <c r="J154" s="600"/>
      <c r="K154" s="600"/>
      <c r="L154" s="600"/>
      <c r="M154" s="600"/>
      <c r="N154" s="600"/>
      <c r="O154" s="600"/>
      <c r="P154" s="600"/>
      <c r="Q154" s="600"/>
      <c r="R154" s="600"/>
      <c r="S154" s="600"/>
      <c r="T154" s="600"/>
      <c r="U154" s="600"/>
      <c r="V154" s="600"/>
      <c r="W154" s="600"/>
      <c r="X154" s="600"/>
      <c r="Y154" s="600"/>
      <c r="Z154" s="600"/>
      <c r="AA154" s="600"/>
      <c r="AB154" s="601"/>
      <c r="AC154" s="160"/>
      <c r="AD154" s="150"/>
      <c r="AE154" s="150"/>
      <c r="AF154" s="165"/>
      <c r="AG154" s="168"/>
      <c r="AH154" s="149"/>
      <c r="AI154" s="149"/>
      <c r="AJ154" s="171"/>
      <c r="AK154" s="160"/>
      <c r="AL154" s="150"/>
      <c r="AM154" s="150"/>
      <c r="AN154" s="165"/>
      <c r="AO154" s="168"/>
      <c r="AP154" s="149"/>
      <c r="AQ154" s="149"/>
      <c r="AR154" s="157"/>
      <c r="AS154" s="160"/>
      <c r="AT154" s="150"/>
      <c r="AU154" s="150"/>
      <c r="AV154" s="165"/>
      <c r="AW154" s="168"/>
      <c r="AX154" s="149"/>
      <c r="AY154" s="149"/>
      <c r="AZ154" s="157"/>
      <c r="BA154" s="160"/>
      <c r="BB154" s="150"/>
      <c r="BC154" s="150"/>
      <c r="BD154" s="176"/>
      <c r="BE154" s="168"/>
      <c r="BF154" s="149"/>
      <c r="BG154" s="149"/>
      <c r="BH154" s="171"/>
      <c r="BI154" s="160"/>
      <c r="BJ154" s="150"/>
      <c r="BK154" s="150"/>
      <c r="BL154" s="176"/>
      <c r="BM154" s="168"/>
      <c r="BN154" s="149"/>
      <c r="BO154" s="149"/>
      <c r="BP154" s="157"/>
      <c r="BQ154" s="160"/>
      <c r="BR154" s="150"/>
      <c r="BS154" s="150"/>
      <c r="BT154" s="176"/>
      <c r="BU154" s="168"/>
      <c r="BV154" s="149"/>
      <c r="BW154" s="149"/>
      <c r="BX154" s="157"/>
      <c r="BY154" s="160"/>
      <c r="BZ154" s="150"/>
      <c r="CA154" s="150"/>
      <c r="CB154" s="176"/>
      <c r="CC154" s="168"/>
      <c r="CD154" s="149"/>
      <c r="CE154" s="149"/>
      <c r="CF154" s="157"/>
      <c r="CG154" s="160"/>
      <c r="CH154" s="150"/>
      <c r="CI154" s="150"/>
      <c r="CJ154" s="176"/>
      <c r="CK154" s="168"/>
      <c r="CL154" s="149"/>
      <c r="CM154" s="149"/>
      <c r="CN154" s="157"/>
      <c r="CO154" s="160"/>
      <c r="CP154" s="150"/>
      <c r="CQ154" s="150"/>
      <c r="CR154" s="176"/>
      <c r="CS154" s="168"/>
      <c r="CT154" s="149"/>
      <c r="CU154" s="149"/>
      <c r="CV154" s="157"/>
      <c r="CW154" s="160"/>
      <c r="CX154" s="150"/>
      <c r="CY154" s="150"/>
      <c r="CZ154" s="176"/>
      <c r="DA154" s="168"/>
      <c r="DB154" s="149"/>
      <c r="DC154" s="149"/>
      <c r="DD154" s="157"/>
    </row>
    <row r="155" spans="2:108" ht="12" hidden="1" customHeight="1" x14ac:dyDescent="0.2">
      <c r="B155" s="182" t="str">
        <f>'FCW - S5'!B5</f>
        <v>Floating Constructed Wetlands - Site 5</v>
      </c>
      <c r="C155" s="189"/>
      <c r="D155" s="194">
        <f>'FCW - S5'!F34</f>
        <v>0</v>
      </c>
      <c r="E155" s="195">
        <f>'FCW - S5'!F63</f>
        <v>0</v>
      </c>
      <c r="F155" s="195">
        <f>'FCW - S5'!F94</f>
        <v>0</v>
      </c>
      <c r="G155" s="195">
        <f>'FCW - S5'!F123</f>
        <v>0</v>
      </c>
      <c r="H155" s="168"/>
      <c r="I155" s="600"/>
      <c r="J155" s="600"/>
      <c r="K155" s="600"/>
      <c r="L155" s="600"/>
      <c r="M155" s="600"/>
      <c r="N155" s="600"/>
      <c r="O155" s="600"/>
      <c r="P155" s="600"/>
      <c r="Q155" s="600"/>
      <c r="R155" s="600"/>
      <c r="S155" s="600"/>
      <c r="T155" s="600"/>
      <c r="U155" s="600"/>
      <c r="V155" s="600"/>
      <c r="W155" s="600"/>
      <c r="X155" s="600"/>
      <c r="Y155" s="600"/>
      <c r="Z155" s="600"/>
      <c r="AA155" s="600"/>
      <c r="AB155" s="601"/>
      <c r="AC155" s="160"/>
      <c r="AD155" s="150"/>
      <c r="AE155" s="150"/>
      <c r="AF155" s="165"/>
      <c r="AG155" s="168"/>
      <c r="AH155" s="149"/>
      <c r="AI155" s="149"/>
      <c r="AJ155" s="171"/>
      <c r="AK155" s="160"/>
      <c r="AL155" s="150"/>
      <c r="AM155" s="150"/>
      <c r="AN155" s="165"/>
      <c r="AO155" s="168"/>
      <c r="AP155" s="149"/>
      <c r="AQ155" s="149"/>
      <c r="AR155" s="157"/>
      <c r="AS155" s="160"/>
      <c r="AT155" s="150"/>
      <c r="AU155" s="150"/>
      <c r="AV155" s="165"/>
      <c r="AW155" s="168"/>
      <c r="AX155" s="149"/>
      <c r="AY155" s="149"/>
      <c r="AZ155" s="157"/>
      <c r="BA155" s="160"/>
      <c r="BB155" s="150"/>
      <c r="BC155" s="150"/>
      <c r="BD155" s="176"/>
      <c r="BE155" s="168"/>
      <c r="BF155" s="149"/>
      <c r="BG155" s="149"/>
      <c r="BH155" s="171"/>
      <c r="BI155" s="160"/>
      <c r="BJ155" s="150"/>
      <c r="BK155" s="150"/>
      <c r="BL155" s="176"/>
      <c r="BM155" s="168"/>
      <c r="BN155" s="149"/>
      <c r="BO155" s="149"/>
      <c r="BP155" s="157"/>
      <c r="BQ155" s="160"/>
      <c r="BR155" s="150"/>
      <c r="BS155" s="150"/>
      <c r="BT155" s="176"/>
      <c r="BU155" s="168"/>
      <c r="BV155" s="149"/>
      <c r="BW155" s="149"/>
      <c r="BX155" s="157"/>
      <c r="BY155" s="160"/>
      <c r="BZ155" s="150"/>
      <c r="CA155" s="150"/>
      <c r="CB155" s="176"/>
      <c r="CC155" s="168"/>
      <c r="CD155" s="149"/>
      <c r="CE155" s="149"/>
      <c r="CF155" s="157"/>
      <c r="CG155" s="160"/>
      <c r="CH155" s="150"/>
      <c r="CI155" s="150"/>
      <c r="CJ155" s="176"/>
      <c r="CK155" s="168"/>
      <c r="CL155" s="149"/>
      <c r="CM155" s="149"/>
      <c r="CN155" s="157"/>
      <c r="CO155" s="160"/>
      <c r="CP155" s="150"/>
      <c r="CQ155" s="150"/>
      <c r="CR155" s="176"/>
      <c r="CS155" s="168"/>
      <c r="CT155" s="149"/>
      <c r="CU155" s="149"/>
      <c r="CV155" s="157"/>
      <c r="CW155" s="160"/>
      <c r="CX155" s="150"/>
      <c r="CY155" s="150"/>
      <c r="CZ155" s="176"/>
      <c r="DA155" s="168"/>
      <c r="DB155" s="149"/>
      <c r="DC155" s="149"/>
      <c r="DD155" s="157"/>
    </row>
    <row r="156" spans="2:108" ht="12" hidden="1" customHeight="1" x14ac:dyDescent="0.2">
      <c r="B156" s="183" t="s">
        <v>220</v>
      </c>
      <c r="C156" s="556"/>
      <c r="D156" s="168">
        <f>'FCW - S5'!F31+'FCW - S5'!F32</f>
        <v>0</v>
      </c>
      <c r="E156" s="149"/>
      <c r="F156" s="149"/>
      <c r="G156" s="149"/>
      <c r="H156" s="168">
        <f>SUM(I156:AB156)</f>
        <v>0</v>
      </c>
      <c r="I156" s="610">
        <f>-PV(InterestRate,I$8,,(SUM(AC156:AF156)))</f>
        <v>0</v>
      </c>
      <c r="J156" s="610">
        <f>-PV(InterestRate,J$8,,(SUM(AG156:AJ156)))</f>
        <v>0</v>
      </c>
      <c r="K156" s="610">
        <f>-PV(InterestRate,K$8,,(SUM(AK156:AN156)))</f>
        <v>0</v>
      </c>
      <c r="L156" s="610">
        <f>-PV(InterestRate,L$8,,(SUM(AO156:AR156)))</f>
        <v>0</v>
      </c>
      <c r="M156" s="610">
        <f>-PV(InterestRate,M$8,,(SUM(AS156:AV156)))</f>
        <v>0</v>
      </c>
      <c r="N156" s="610">
        <f>-PV(InterestRate,N$8,,(SUM(AW156:AZ156)))</f>
        <v>0</v>
      </c>
      <c r="O156" s="610">
        <f>-PV(InterestRate,O$8,,(SUM(BA156:BD156)))</f>
        <v>0</v>
      </c>
      <c r="P156" s="610">
        <f>-PV(InterestRate,P$8,,(SUM(BE156:BH156)))</f>
        <v>0</v>
      </c>
      <c r="Q156" s="610">
        <f>-PV(InterestRate,Q$8,,(SUM(BI156:BL156)))</f>
        <v>0</v>
      </c>
      <c r="R156" s="610">
        <f>-PV(InterestRate,R$8,,(SUM(BM156:BP156)))</f>
        <v>0</v>
      </c>
      <c r="S156" s="610">
        <f>-PV(InterestRate,S$8,,(SUM(BQ156:BT156)))</f>
        <v>0</v>
      </c>
      <c r="T156" s="610">
        <f>-PV(InterestRate,T$8,,(SUM(BU156:BX156)))</f>
        <v>0</v>
      </c>
      <c r="U156" s="610">
        <f>-PV(InterestRate,U$8,,(SUM(BY156:CB156)))</f>
        <v>0</v>
      </c>
      <c r="V156" s="610">
        <f>-PV(InterestRate,V$8,,(SUM(CC156:CF156)))</f>
        <v>0</v>
      </c>
      <c r="W156" s="610">
        <f>-PV(InterestRate,W$8,,(SUM(CG156:CJ156)))</f>
        <v>0</v>
      </c>
      <c r="X156" s="610">
        <f>-PV(InterestRate,X$8,,(SUM(CK156:CN156)))</f>
        <v>0</v>
      </c>
      <c r="Y156" s="610">
        <f>-PV(InterestRate,Y$8,,(SUM(CO156:CR156)))</f>
        <v>0</v>
      </c>
      <c r="Z156" s="610">
        <f>-PV(InterestRate,Z$8,,(SUM(CS156:CV156)))</f>
        <v>0</v>
      </c>
      <c r="AA156" s="610">
        <f>-PV(InterestRate,AA$8,,(SUM(CW156:CZ156)))</f>
        <v>0</v>
      </c>
      <c r="AB156" s="611">
        <f>-PV(InterestRate,AB$8,,(SUM(DA156:DD156)))</f>
        <v>0</v>
      </c>
      <c r="AC156" s="160"/>
      <c r="AD156" s="150"/>
      <c r="AE156" s="150"/>
      <c r="AF156" s="165"/>
      <c r="AG156" s="168"/>
      <c r="AH156" s="149"/>
      <c r="AI156" s="149"/>
      <c r="AJ156" s="171"/>
      <c r="AK156" s="160"/>
      <c r="AL156" s="150"/>
      <c r="AM156" s="150"/>
      <c r="AN156" s="165"/>
      <c r="AO156" s="168">
        <f>IF($C156&gt;0,(IF($C156=$AO$7,(-FV(InflationRate,$AO$7,,$D156)),0)),0)</f>
        <v>0</v>
      </c>
      <c r="AP156" s="149">
        <f>IF($C156&gt;0,(IF($AO$7&gt;=$C156+1, (-FV(InflationRate,$AO$7,,$E156)), 0)),0)</f>
        <v>0</v>
      </c>
      <c r="AQ156" s="149">
        <f>IF($C156&gt;0,(IF($AO$7&gt;=$C156+1, (-FV(InflationRate,$AO$7,,$F156)), 0)),0)</f>
        <v>0</v>
      </c>
      <c r="AR156" s="157">
        <f>IF($C156&gt;0,(IF($AO$7&gt;=$C156+1, (-FV(InflationRate,$AO$7,,$G156)), 0)),0)</f>
        <v>0</v>
      </c>
      <c r="AS156" s="160">
        <f>IF($C156&gt;0,(IF($C156=$AS$7,(-FV(InflationRate,$AS$7,,$D156)),0)),0)</f>
        <v>0</v>
      </c>
      <c r="AT156" s="150">
        <f>IF($C156&gt;0,(IF($AS$7&gt;=$C156+1, (-FV(InflationRate,$AS$7,,$E156)), 0)),0)</f>
        <v>0</v>
      </c>
      <c r="AU156" s="150">
        <f>IF($C156&gt;0,(IF($AS$7&gt;=$C156+1, (-FV(InflationRate,$AS$7,,$F156)), 0)),0)</f>
        <v>0</v>
      </c>
      <c r="AV156" s="165">
        <f>IF($C156&gt;0,(IF($AS$7&gt;=$C156+1, (-FV(InflationRate,$AS$7,,$G156)), 0)),0)</f>
        <v>0</v>
      </c>
      <c r="AW156" s="168">
        <f>IF($C156&gt;0,(IF($C156=$AW$7,(-FV(InflationRate,$AW$7,,$D156)),0)),0)</f>
        <v>0</v>
      </c>
      <c r="AX156" s="149">
        <f>IF($C156&gt;0,(IF($AW$7&gt;=$C156+1, (-FV(InflationRate,$AW$7,,$E156)), 0)),0)</f>
        <v>0</v>
      </c>
      <c r="AY156" s="149">
        <f>IF($C156&gt;0,(IF($AW$7&gt;=$C156+1, (-FV(InflationRate,$AW$7,,$F156)), 0)),0)</f>
        <v>0</v>
      </c>
      <c r="AZ156" s="157">
        <f>IF($C156&gt;0,(IF($AW$7&gt;=$C156+1, (-FV(InflationRate,$AW$7,,$G156)), 0)),0)</f>
        <v>0</v>
      </c>
      <c r="BA156" s="160">
        <f>IF($C156&gt;0,(IF($C156=$BA$7,(-FV(InflationRate,$BA$7,,$D156)),0)),0)</f>
        <v>0</v>
      </c>
      <c r="BB156" s="150">
        <f>IF($C156&gt;0,(IF($BA$7&gt;=$C156+1, (-FV(InflationRate,$BA$7,,$E156)), 0)),0)</f>
        <v>0</v>
      </c>
      <c r="BC156" s="150">
        <f>IF($C156&gt;0,(IF($BA$7&gt;=$C156+1, (-FV(InflationRate,$BA$7,,$F156)), 0)),0)</f>
        <v>0</v>
      </c>
      <c r="BD156" s="176">
        <f>IF($C156&gt;0,(IF($BA$7&gt;=$C156+1, (-FV(InflationRate,$BA$7,,$G156)), 0)),0)</f>
        <v>0</v>
      </c>
      <c r="BE156" s="168">
        <f>IF($C156&gt;0,(IF($C156=$BE$7,(-FV(InflationRate,$BE$7,,$D156)),0)),0)</f>
        <v>0</v>
      </c>
      <c r="BF156" s="149">
        <f>IF($C156&gt;0,(IF($BE$7&gt;=$C156+1, (-FV(InflationRate,$BE$7,,$E156)), 0)),0)</f>
        <v>0</v>
      </c>
      <c r="BG156" s="149">
        <f>IF($C156&gt;0,(IF($BE$7&gt;=$C156+1, (-FV(InflationRate,$BE$7,,$F156)), 0)),0)</f>
        <v>0</v>
      </c>
      <c r="BH156" s="171">
        <f>IF($C156&gt;0,(IF($BE$7&gt;=$C156+1, (-FV(InflationRate,$BE$7,,$G156)), 0)),0)</f>
        <v>0</v>
      </c>
      <c r="BI156" s="160">
        <f>IF($C156&gt;0,(IF($C156=$BI$7,(-FV(InflationRate,$BI$7,,$D156)),0)),0)</f>
        <v>0</v>
      </c>
      <c r="BJ156" s="150">
        <f>IF($C156&gt;0,(IF($BI$7&gt;=$C156+1, (-FV(InflationRate,$BI$7,,$E156)), 0)),0)</f>
        <v>0</v>
      </c>
      <c r="BK156" s="150">
        <f>IF($C156&gt;0,(IF($BI$7&gt;=$C156+1, (-FV(InflationRate,$BI$7,,$F156)), 0)),0)</f>
        <v>0</v>
      </c>
      <c r="BL156" s="176">
        <f>IF($C156&gt;0,(IF($BI$7&gt;=$C156+1, (-FV(InflationRate,$BI$7,,$G156)), 0)),0)</f>
        <v>0</v>
      </c>
      <c r="BM156" s="168">
        <f>IF($C156&gt;0,(IF($C156=$BM$7,(-FV(InflationRate,$BM$7,,$D156)),0)),0)</f>
        <v>0</v>
      </c>
      <c r="BN156" s="149">
        <f>IF($C156&gt;0,(IF($BM$7&gt;=$C156+1, (-FV(InflationRate,$BM$7,,$E156)), 0)),0)</f>
        <v>0</v>
      </c>
      <c r="BO156" s="149">
        <f>IF($C156&gt;0,(IF($BM$7&gt;=$C156+1, (-FV(InflationRate,$BM$7,,$F156)), 0)),0)</f>
        <v>0</v>
      </c>
      <c r="BP156" s="157">
        <f>IF($C156&gt;0,(IF($BM$7&gt;=$C156+1, (-FV(InflationRate,$BM$7,,$G156)), 0)),0)</f>
        <v>0</v>
      </c>
      <c r="BQ156" s="160">
        <f>IF($C156&gt;0,(IF($C156=$BQ$7,(-FV(InflationRate,$BQ$7,,$D156)),0)),0)</f>
        <v>0</v>
      </c>
      <c r="BR156" s="150">
        <f>IF($C156&gt;0,(IF($BQ$7&gt;=$C156+1, (-FV(InflationRate,$BQ$7,,$E156)), 0)),0)</f>
        <v>0</v>
      </c>
      <c r="BS156" s="150">
        <f>IF($C156&gt;0,(IF($BQ$7&gt;=$C156+1, (-FV(InflationRate,$BQ$7,,$F156)), 0)),0)</f>
        <v>0</v>
      </c>
      <c r="BT156" s="176">
        <f>IF($C156&gt;0,(IF($BQ$7&gt;=$C156+1, (-FV(InflationRate,$BQ$7,,$G156)), 0)),0)</f>
        <v>0</v>
      </c>
      <c r="BU156" s="168">
        <f>IF($C156&gt;0,(IF($C156=$BU$7,(-FV(InflationRate,$BU$7,,$D156)),0)),0)</f>
        <v>0</v>
      </c>
      <c r="BV156" s="149">
        <f>IF($C156&gt;0,(IF($BU$7&gt;=$C156+1, (-FV(InflationRate,$BU$7,,$E156)), 0)),0)</f>
        <v>0</v>
      </c>
      <c r="BW156" s="149">
        <f>IF($C156&gt;0,(IF($BU$7&gt;=$C156+1, (-FV(InflationRate,$BU$7,,$F156)), 0)),0)</f>
        <v>0</v>
      </c>
      <c r="BX156" s="157">
        <f>IF($C156&gt;0,(IF($BU$7&gt;=$C156+1, (-FV(InflationRate,$BU$7,,$G156)), 0)),0)</f>
        <v>0</v>
      </c>
      <c r="BY156" s="160">
        <f>IF($C156&gt;0,(IF($C156=$BY$7,(-FV(InflationRate,$BY$7,,$D156)),0)),0)</f>
        <v>0</v>
      </c>
      <c r="BZ156" s="150">
        <f>IF($C156&gt;0,(IF($BY$7&gt;=$C156+1, (-FV(InflationRate,$BY$7,,$E156)), 0)),0)</f>
        <v>0</v>
      </c>
      <c r="CA156" s="150">
        <f>IF($C156&gt;0,(IF($BY$7&gt;=$C156+1, (-FV(InflationRate,$BY$7,,$F156)), 0)),0)</f>
        <v>0</v>
      </c>
      <c r="CB156" s="176">
        <f>IF($C156&gt;0,(IF($BY$7&gt;=$C156+1, (-FV(InflationRate,$BY$7,,$G156)), 0)),0)</f>
        <v>0</v>
      </c>
      <c r="CC156" s="168">
        <f>IF($C156&gt;0,(IF($C156=$CC$7,(-FV(InflationRate,$CC$7,,$D156)),0)),0)</f>
        <v>0</v>
      </c>
      <c r="CD156" s="149">
        <f>IF($C156&gt;0,(IF($CC$7&gt;=$C156+1, (-FV(InflationRate,$CC$7,,$E156)), 0)),0)</f>
        <v>0</v>
      </c>
      <c r="CE156" s="149">
        <f>IF($C156&gt;0,(IF($CC$7&gt;=$C156+1, (-FV(InflationRate,$CC$7,,$F156)), 0)),0)</f>
        <v>0</v>
      </c>
      <c r="CF156" s="157">
        <f>IF($C156&gt;0,(IF($CC$7&gt;=$C156+1, (-FV(InflationRate,$CC$7,,$G156)), 0)),0)</f>
        <v>0</v>
      </c>
      <c r="CG156" s="160">
        <f>IF($C156&gt;0,(IF($C156=$CG$7,(-FV(InflationRate,$CG$7,,$D156)),0)),0)</f>
        <v>0</v>
      </c>
      <c r="CH156" s="150">
        <f>IF($C156&gt;0,(IF($CG$7&gt;=$C156+1, (-FV(InflationRate,$CG$7,,$E156)), 0)),0)</f>
        <v>0</v>
      </c>
      <c r="CI156" s="150">
        <f>IF($C156&gt;0,(IF($CG$7&gt;=$C156+1, (-FV(InflationRate,$CG$7,,$F156)), 0)),0)</f>
        <v>0</v>
      </c>
      <c r="CJ156" s="176">
        <f>IF($C156&gt;0,(IF($CG$7&gt;=$C156+1, (-FV(InflationRate,$CG$7,,$G156)), 0)),0)</f>
        <v>0</v>
      </c>
      <c r="CK156" s="168">
        <f>IF($C156&gt;0,(IF($C156=$CK$7,(-FV(InflationRate,$CK$7,,$D156)),0)),0)</f>
        <v>0</v>
      </c>
      <c r="CL156" s="149">
        <f>IF($C156&gt;0,(IF($CK$7&gt;=$C156+1, (-FV(InflationRate,$CK$7,,$E156)), 0)),0)</f>
        <v>0</v>
      </c>
      <c r="CM156" s="149">
        <f>IF($C156&gt;0,(IF($CK$7&gt;=$C156+1, (-FV(InflationRate,$CK$7,,$F156)), 0)),0)</f>
        <v>0</v>
      </c>
      <c r="CN156" s="157">
        <f>IF($C156&gt;0,(IF($CK$7&gt;=$C156+1, (-FV(InflationRate,$CK$7,,$G156)), 0)),0)</f>
        <v>0</v>
      </c>
      <c r="CO156" s="160">
        <f>IF($C156&gt;0,(IF($C156=$CO$7,(-FV(InflationRate,$CO$7,,$D156)),0)),0)</f>
        <v>0</v>
      </c>
      <c r="CP156" s="150">
        <f>IF($C156&gt;0,(IF($CO$7&gt;=$C156+1, (-FV(InflationRate,$CO$7,,$E156)), 0)),0)</f>
        <v>0</v>
      </c>
      <c r="CQ156" s="150">
        <f>IF($C156&gt;0,(IF($CO$7&gt;=$C156+1, (-FV(InflationRate,$CO$7,,$F156)), 0)),0)</f>
        <v>0</v>
      </c>
      <c r="CR156" s="176">
        <f>IF($C156&gt;0,(IF($CO$7&gt;=$C156+1, (-FV(InflationRate,$CO$7,,$G156)), 0)),0)</f>
        <v>0</v>
      </c>
      <c r="CS156" s="168">
        <f>IF($C156&gt;0,(IF($C156=$CS$7,(-FV(InflationRate,$CS$7,,$D156)),0)),0)</f>
        <v>0</v>
      </c>
      <c r="CT156" s="149">
        <f>IF($C156&gt;0,(IF($CS$7&gt;=$C156+1, (-FV(InflationRate,$CS$7,,$E156)), 0)),0)</f>
        <v>0</v>
      </c>
      <c r="CU156" s="149">
        <f>IF($C156&gt;0,(IF($CS$7&gt;=$C156+1, (-FV(InflationRate,$CS$7,,$F156)), 0)),0)</f>
        <v>0</v>
      </c>
      <c r="CV156" s="157">
        <f>IF($C156&gt;0,(IF($CS$7&gt;=$C156+1, (-FV(InflationRate,$CS$7,,$G156)), 0)),0)</f>
        <v>0</v>
      </c>
      <c r="CW156" s="160">
        <f>IF($C156&gt;0,(IF($C156=$CW$7,(-FV(InflationRate,$CW$7,,$D156)),0)),0)</f>
        <v>0</v>
      </c>
      <c r="CX156" s="150">
        <f>IF($C156&gt;0,(IF($CW$7&gt;=$C156+1, (-FV(InflationRate,$CW$7,,$E156)), 0)),0)</f>
        <v>0</v>
      </c>
      <c r="CY156" s="150">
        <f>IF($C156&gt;0,(IF($CW$7&gt;=$C156+1, (-FV(InflationRate,$CW$7,,$F156)), 0)),0)</f>
        <v>0</v>
      </c>
      <c r="CZ156" s="176">
        <f>IF($C156&gt;0,(IF($CW$7&gt;=$C156+1, (-FV(InflationRate,$CW$7,,$G156)), 0)),0)</f>
        <v>0</v>
      </c>
      <c r="DA156" s="168">
        <f>IF($C156&gt;0,(IF($C156=$DA$7,(-FV(InflationRate,$DA$7,,$D156)),0)),0)</f>
        <v>0</v>
      </c>
      <c r="DB156" s="149">
        <f>IF($C156&gt;0,(IF($DA$7&gt;=$C156+1, (-FV(InflationRate,$DA$7,,$E156)), 0)),0)</f>
        <v>0</v>
      </c>
      <c r="DC156" s="149">
        <f>IF($C156&gt;0,(IF($DA$7&gt;=$C156+1, (-FV(InflationRate,$DA$7,,$F156)), 0)),0)</f>
        <v>0</v>
      </c>
      <c r="DD156" s="157">
        <f>IF($C156&gt;0,(IF($DA$7&gt;=$C156+1, (-FV(InflationRate,$DA$7,,$G156)), 0)),0)</f>
        <v>0</v>
      </c>
    </row>
    <row r="157" spans="2:108" ht="12" hidden="1" customHeight="1" x14ac:dyDescent="0.2">
      <c r="B157" s="183" t="s">
        <v>270</v>
      </c>
      <c r="C157" s="556"/>
      <c r="D157" s="168">
        <f>D155-D156</f>
        <v>0</v>
      </c>
      <c r="E157" s="149">
        <f>E155</f>
        <v>0</v>
      </c>
      <c r="F157" s="149"/>
      <c r="G157" s="149">
        <f>G155</f>
        <v>0</v>
      </c>
      <c r="H157" s="168">
        <f>SUM(I157:AB157)</f>
        <v>0</v>
      </c>
      <c r="I157" s="610">
        <f>-PV(InterestRate,I$8,,(SUM(AC157:AF157)))</f>
        <v>0</v>
      </c>
      <c r="J157" s="610">
        <f>-PV(InterestRate,J$8,,(SUM(AG157:AJ157)))</f>
        <v>0</v>
      </c>
      <c r="K157" s="610">
        <f>-PV(InterestRate,K$8,,(SUM(AK157:AN157)))</f>
        <v>0</v>
      </c>
      <c r="L157" s="610">
        <f>-PV(InterestRate,L$8,,(SUM(AO157:AR157)))</f>
        <v>0</v>
      </c>
      <c r="M157" s="610">
        <f>-PV(InterestRate,M$8,,(SUM(AS157:AV157)))</f>
        <v>0</v>
      </c>
      <c r="N157" s="610">
        <f>-PV(InterestRate,N$8,,(SUM(AW157:AZ157)))</f>
        <v>0</v>
      </c>
      <c r="O157" s="610">
        <f>-PV(InterestRate,O$8,,(SUM(BA157:BD157)))</f>
        <v>0</v>
      </c>
      <c r="P157" s="610">
        <f>-PV(InterestRate,P$8,,(SUM(BE157:BH157)))</f>
        <v>0</v>
      </c>
      <c r="Q157" s="610">
        <f>-PV(InterestRate,Q$8,,(SUM(BI157:BL157)))</f>
        <v>0</v>
      </c>
      <c r="R157" s="610">
        <f>-PV(InterestRate,R$8,,(SUM(BM157:BP157)))</f>
        <v>0</v>
      </c>
      <c r="S157" s="610">
        <f>-PV(InterestRate,S$8,,(SUM(BQ157:BT157)))</f>
        <v>0</v>
      </c>
      <c r="T157" s="610">
        <f>-PV(InterestRate,T$8,,(SUM(BU157:BX157)))</f>
        <v>0</v>
      </c>
      <c r="U157" s="610">
        <f>-PV(InterestRate,U$8,,(SUM(BY157:CB157)))</f>
        <v>0</v>
      </c>
      <c r="V157" s="610">
        <f>-PV(InterestRate,V$8,,(SUM(CC157:CF157)))</f>
        <v>0</v>
      </c>
      <c r="W157" s="610">
        <f>-PV(InterestRate,W$8,,(SUM(CG157:CJ157)))</f>
        <v>0</v>
      </c>
      <c r="X157" s="610">
        <f>-PV(InterestRate,X$8,,(SUM(CK157:CN157)))</f>
        <v>0</v>
      </c>
      <c r="Y157" s="610">
        <f>-PV(InterestRate,Y$8,,(SUM(CO157:CR157)))</f>
        <v>0</v>
      </c>
      <c r="Z157" s="610">
        <f>-PV(InterestRate,Z$8,,(SUM(CS157:CV157)))</f>
        <v>0</v>
      </c>
      <c r="AA157" s="610">
        <f>-PV(InterestRate,AA$8,,(SUM(CW157:CZ157)))</f>
        <v>0</v>
      </c>
      <c r="AB157" s="611">
        <f>-PV(InterestRate,AB$8,,(SUM(DA157:DD157)))</f>
        <v>0</v>
      </c>
      <c r="AC157" s="160"/>
      <c r="AD157" s="150"/>
      <c r="AE157" s="150"/>
      <c r="AF157" s="165"/>
      <c r="AG157" s="168"/>
      <c r="AH157" s="149"/>
      <c r="AI157" s="149"/>
      <c r="AJ157" s="171"/>
      <c r="AK157" s="160"/>
      <c r="AL157" s="150"/>
      <c r="AM157" s="150"/>
      <c r="AN157" s="165"/>
      <c r="AO157" s="168">
        <f>IF($C157&gt;0,(IF($C157=$AO$7,(-FV(InflationRate,$AO$7,,$D157)),0)),0)</f>
        <v>0</v>
      </c>
      <c r="AP157" s="149">
        <f>IF($C157&gt;0,(IF($AO$7&gt;=$C157+1, (-FV(InflationRate,$AO$7,,$E157)), 0)),0)</f>
        <v>0</v>
      </c>
      <c r="AQ157" s="149">
        <f>IF($C157&gt;0,(IF($AO$7&gt;=$C157+1, (-FV(InflationRate,$AO$7,,$F157)), 0)),0)</f>
        <v>0</v>
      </c>
      <c r="AR157" s="157">
        <f>IF($C157&gt;0,(IF($AO$7&gt;=$C157+1, (-FV(InflationRate,$AO$7,,$G157)), 0)),0)</f>
        <v>0</v>
      </c>
      <c r="AS157" s="160">
        <f>IF($C157&gt;0,(IF($C157=$AS$7,(-FV(InflationRate,$AS$7,,$D157)),0)),0)</f>
        <v>0</v>
      </c>
      <c r="AT157" s="150">
        <f>IF($C157&gt;0,(IF($AS$7&gt;=$C157+1, (-FV(InflationRate,$AS$7,,$E157)), 0)),0)</f>
        <v>0</v>
      </c>
      <c r="AU157" s="150">
        <f>IF($C157&gt;0,(IF($AS$7&gt;=$C157+1, (-FV(InflationRate,$AS$7,,$F157)), 0)),0)</f>
        <v>0</v>
      </c>
      <c r="AV157" s="165">
        <f>IF($C157&gt;0,(IF($AS$7&gt;=$C157+1, (-FV(InflationRate,$AS$7,,$G157)), 0)),0)</f>
        <v>0</v>
      </c>
      <c r="AW157" s="168">
        <f>IF($C157&gt;0,(IF($C157=$AW$7,(-FV(InflationRate,$AW$7,,$D157)),0)),0)</f>
        <v>0</v>
      </c>
      <c r="AX157" s="149">
        <f>IF($C157&gt;0,(IF($AW$7&gt;=$C157+1, (-FV(InflationRate,$AW$7,,$E157)), 0)),0)</f>
        <v>0</v>
      </c>
      <c r="AY157" s="149">
        <f>IF($C157&gt;0,(IF($AW$7&gt;=$C157+1, (-FV(InflationRate,$AW$7,,$F157)), 0)),0)</f>
        <v>0</v>
      </c>
      <c r="AZ157" s="157">
        <f>IF($C157&gt;0,(IF($AW$7&gt;=$C157+1, (-FV(InflationRate,$AW$7,,$G157)), 0)),0)</f>
        <v>0</v>
      </c>
      <c r="BA157" s="160">
        <f>IF($C157&gt;0,(IF($C157=$BA$7,(-FV(InflationRate,$BA$7,,$D157)),0)),0)</f>
        <v>0</v>
      </c>
      <c r="BB157" s="150">
        <f>IF($C157&gt;0,(IF($BA$7&gt;=$C157+1, (-FV(InflationRate,$BA$7,,$E157)), 0)),0)</f>
        <v>0</v>
      </c>
      <c r="BC157" s="150">
        <f>IF($C157&gt;0,(IF($BA$7&gt;=$C157+1, (-FV(InflationRate,$BA$7,,$F157)), 0)),0)</f>
        <v>0</v>
      </c>
      <c r="BD157" s="176">
        <f>IF($C157&gt;0,(IF($BA$7&gt;=$C157+1, (-FV(InflationRate,$BA$7,,$G157)), 0)),0)</f>
        <v>0</v>
      </c>
      <c r="BE157" s="168">
        <f>IF($C157&gt;0,(IF($C157=$BE$7,(-FV(InflationRate,$BE$7,,$D157)),0)),0)</f>
        <v>0</v>
      </c>
      <c r="BF157" s="149">
        <f>IF($C157&gt;0,(IF($BE$7&gt;=$C157+1, (-FV(InflationRate,$BE$7,,$E157)), 0)),0)</f>
        <v>0</v>
      </c>
      <c r="BG157" s="149">
        <f>IF($C157&gt;0,(IF($BE$7&gt;=$C157+1, (-FV(InflationRate,$BE$7,,$F157)), 0)),0)</f>
        <v>0</v>
      </c>
      <c r="BH157" s="171">
        <f>IF($C157&gt;0,(IF($BE$7&gt;=$C157+1, (-FV(InflationRate,$BE$7,,$G157)), 0)),0)</f>
        <v>0</v>
      </c>
      <c r="BI157" s="160">
        <f>IF($C157&gt;0,(IF($C157=$BI$7,(-FV(InflationRate,$BI$7,,$D157)),0)),0)</f>
        <v>0</v>
      </c>
      <c r="BJ157" s="150">
        <f>IF($C157&gt;0,(IF($BI$7&gt;=$C157+1, (-FV(InflationRate,$BI$7,,$E157)), 0)),0)</f>
        <v>0</v>
      </c>
      <c r="BK157" s="150">
        <f>IF($C157&gt;0,(IF($BI$7&gt;=$C157+1, (-FV(InflationRate,$BI$7,,$F157)), 0)),0)</f>
        <v>0</v>
      </c>
      <c r="BL157" s="176">
        <f>IF($C157&gt;0,(IF($BI$7&gt;=$C157+1, (-FV(InflationRate,$BI$7,,$G157)), 0)),0)</f>
        <v>0</v>
      </c>
      <c r="BM157" s="168">
        <f>IF($C157&gt;0,(IF($C157=$BM$7,(-FV(InflationRate,$BM$7,,$D157)),0)),0)</f>
        <v>0</v>
      </c>
      <c r="BN157" s="149">
        <f>IF($C157&gt;0,(IF($BM$7&gt;=$C157+1, (-FV(InflationRate,$BM$7,,$E157)), 0)),0)</f>
        <v>0</v>
      </c>
      <c r="BO157" s="149">
        <f>IF($C157&gt;0,(IF($BM$7&gt;=$C157+1, (-FV(InflationRate,$BM$7,,$F157)), 0)),0)</f>
        <v>0</v>
      </c>
      <c r="BP157" s="157">
        <f>IF($C157&gt;0,(IF($BM$7&gt;=$C157+1, (-FV(InflationRate,$BM$7,,$G157)), 0)),0)</f>
        <v>0</v>
      </c>
      <c r="BQ157" s="160">
        <f>IF($C157&gt;0,(IF($C157=$BQ$7,(-FV(InflationRate,$BQ$7,,$D157)),0)),0)</f>
        <v>0</v>
      </c>
      <c r="BR157" s="150">
        <f>IF($C157&gt;0,(IF($BQ$7&gt;=$C157+1, (-FV(InflationRate,$BQ$7,,$E157)), 0)),0)</f>
        <v>0</v>
      </c>
      <c r="BS157" s="150">
        <f>IF($C157&gt;0,(IF($BQ$7&gt;=$C157+1, (-FV(InflationRate,$BQ$7,,$F157)), 0)),0)</f>
        <v>0</v>
      </c>
      <c r="BT157" s="176">
        <f>IF($C157&gt;0,(IF($BQ$7&gt;=$C157+1, (-FV(InflationRate,$BQ$7,,$G157)), 0)),0)</f>
        <v>0</v>
      </c>
      <c r="BU157" s="168">
        <f>IF($C157&gt;0,(IF($C157=$BU$7,(-FV(InflationRate,$BU$7,,$D157)),0)),0)</f>
        <v>0</v>
      </c>
      <c r="BV157" s="149">
        <f>IF($C157&gt;0,(IF($BU$7&gt;=$C157+1, (-FV(InflationRate,$BU$7,,$E157)), 0)),0)</f>
        <v>0</v>
      </c>
      <c r="BW157" s="149">
        <f>IF($C157&gt;0,(IF($BU$7&gt;=$C157+1, (-FV(InflationRate,$BU$7,,$F157)), 0)),0)</f>
        <v>0</v>
      </c>
      <c r="BX157" s="157">
        <f>IF($C157&gt;0,(IF($BU$7&gt;=$C157+1, (-FV(InflationRate,$BU$7,,$G157)), 0)),0)</f>
        <v>0</v>
      </c>
      <c r="BY157" s="160">
        <f>IF($C157&gt;0,(IF($C157=$BY$7,(-FV(InflationRate,$BY$7,,$D157)),0)),0)</f>
        <v>0</v>
      </c>
      <c r="BZ157" s="150">
        <f>IF($C157&gt;0,(IF($BY$7&gt;=$C157+1, (-FV(InflationRate,$BY$7,,$E157)), 0)),0)</f>
        <v>0</v>
      </c>
      <c r="CA157" s="150">
        <f>IF($C157&gt;0,(IF($BY$7&gt;=$C157+1, (-FV(InflationRate,$BY$7,,$F157)), 0)),0)</f>
        <v>0</v>
      </c>
      <c r="CB157" s="176">
        <f>IF($C157&gt;0,(IF($BY$7&gt;=$C157+1, (-FV(InflationRate,$BY$7,,$G157)), 0)),0)</f>
        <v>0</v>
      </c>
      <c r="CC157" s="168">
        <f>IF($C157&gt;0,(IF($C157=$CC$7,(-FV(InflationRate,$CC$7,,$D157)),0)),0)</f>
        <v>0</v>
      </c>
      <c r="CD157" s="149">
        <f>IF($C157&gt;0,(IF($CC$7&gt;=$C157+1, (-FV(InflationRate,$CC$7,,$E157)), 0)),0)</f>
        <v>0</v>
      </c>
      <c r="CE157" s="149">
        <f>IF($C157&gt;0,(IF($CC$7&gt;=$C157+1, (-FV(InflationRate,$CC$7,,$F157)), 0)),0)</f>
        <v>0</v>
      </c>
      <c r="CF157" s="157">
        <f>IF($C157&gt;0,(IF($CC$7&gt;=$C157+1, (-FV(InflationRate,$CC$7,,$G157)), 0)),0)</f>
        <v>0</v>
      </c>
      <c r="CG157" s="160">
        <f>IF($C157&gt;0,(IF($C157=$CG$7,(-FV(InflationRate,$CG$7,,$D157)),0)),0)</f>
        <v>0</v>
      </c>
      <c r="CH157" s="150">
        <f>IF($C157&gt;0,(IF($CG$7&gt;=$C157+1, (-FV(InflationRate,$CG$7,,$E157)), 0)),0)</f>
        <v>0</v>
      </c>
      <c r="CI157" s="150">
        <f>IF($C157&gt;0,(IF($CG$7&gt;=$C157+1, (-FV(InflationRate,$CG$7,,$F157)), 0)),0)</f>
        <v>0</v>
      </c>
      <c r="CJ157" s="176">
        <f>IF($C157&gt;0,(IF($CG$7&gt;=$C157+1, (-FV(InflationRate,$CG$7,,$G157)), 0)),0)</f>
        <v>0</v>
      </c>
      <c r="CK157" s="168">
        <f>IF($C157&gt;0,(IF($C157=$CK$7,(-FV(InflationRate,$CK$7,,$D157)),0)),0)</f>
        <v>0</v>
      </c>
      <c r="CL157" s="149">
        <f>IF($C157&gt;0,(IF($CK$7&gt;=$C157+1, (-FV(InflationRate,$CK$7,,$E157)), 0)),0)</f>
        <v>0</v>
      </c>
      <c r="CM157" s="149">
        <f>IF($C157&gt;0,(IF($CK$7&gt;=$C157+1, (-FV(InflationRate,$CK$7,,$F157)), 0)),0)</f>
        <v>0</v>
      </c>
      <c r="CN157" s="157">
        <f>IF($C157&gt;0,(IF($CK$7&gt;=$C157+1, (-FV(InflationRate,$CK$7,,$G157)), 0)),0)</f>
        <v>0</v>
      </c>
      <c r="CO157" s="160">
        <f>IF($C157&gt;0,(IF($C157=$CO$7,(-FV(InflationRate,$CO$7,,$D157)),0)),0)</f>
        <v>0</v>
      </c>
      <c r="CP157" s="150">
        <f>IF($C157&gt;0,(IF($CO$7&gt;=$C157+1, (-FV(InflationRate,$CO$7,,$E157)), 0)),0)</f>
        <v>0</v>
      </c>
      <c r="CQ157" s="150">
        <f>IF($C157&gt;0,(IF($CO$7&gt;=$C157+1, (-FV(InflationRate,$CO$7,,$F157)), 0)),0)</f>
        <v>0</v>
      </c>
      <c r="CR157" s="176">
        <f>IF($C157&gt;0,(IF($CO$7&gt;=$C157+1, (-FV(InflationRate,$CO$7,,$G157)), 0)),0)</f>
        <v>0</v>
      </c>
      <c r="CS157" s="168">
        <f>IF($C157&gt;0,(IF($C157=$CS$7,(-FV(InflationRate,$CS$7,,$D157)),0)),0)</f>
        <v>0</v>
      </c>
      <c r="CT157" s="149">
        <f>IF($C157&gt;0,(IF($CS$7&gt;=$C157+1, (-FV(InflationRate,$CS$7,,$E157)), 0)),0)</f>
        <v>0</v>
      </c>
      <c r="CU157" s="149">
        <f>IF($C157&gt;0,(IF($CS$7&gt;=$C157+1, (-FV(InflationRate,$CS$7,,$F157)), 0)),0)</f>
        <v>0</v>
      </c>
      <c r="CV157" s="157">
        <f>IF($C157&gt;0,(IF($CS$7&gt;=$C157+1, (-FV(InflationRate,$CS$7,,$G157)), 0)),0)</f>
        <v>0</v>
      </c>
      <c r="CW157" s="160">
        <f>IF($C157&gt;0,(IF($C157=$CW$7,(-FV(InflationRate,$CW$7,,$D157)),0)),0)</f>
        <v>0</v>
      </c>
      <c r="CX157" s="150">
        <f>IF($C157&gt;0,(IF($CW$7&gt;=$C157+1, (-FV(InflationRate,$CW$7,,$E157)), 0)),0)</f>
        <v>0</v>
      </c>
      <c r="CY157" s="150">
        <f>IF($C157&gt;0,(IF($CW$7&gt;=$C157+1, (-FV(InflationRate,$CW$7,,$F157)), 0)),0)</f>
        <v>0</v>
      </c>
      <c r="CZ157" s="176">
        <f>IF($C157&gt;0,(IF($CW$7&gt;=$C157+1, (-FV(InflationRate,$CW$7,,$G157)), 0)),0)</f>
        <v>0</v>
      </c>
      <c r="DA157" s="168">
        <f>IF($C157&gt;0,(IF($C157=$DA$7,(-FV(InflationRate,$DA$7,,$D157)),0)),0)</f>
        <v>0</v>
      </c>
      <c r="DB157" s="149">
        <f>IF($C157&gt;0,(IF($DA$7&gt;=$C157+1, (-FV(InflationRate,$DA$7,,$E157)), 0)),0)</f>
        <v>0</v>
      </c>
      <c r="DC157" s="149">
        <f>IF($C157&gt;0,(IF($DA$7&gt;=$C157+1, (-FV(InflationRate,$DA$7,,$F157)), 0)),0)</f>
        <v>0</v>
      </c>
      <c r="DD157" s="157">
        <f>IF($C157&gt;0,(IF($DA$7&gt;=$C157+1, (-FV(InflationRate,$DA$7,,$G157)), 0)),0)</f>
        <v>0</v>
      </c>
    </row>
    <row r="158" spans="2:108" ht="12" hidden="1" customHeight="1" x14ac:dyDescent="0.2">
      <c r="B158" s="183" t="s">
        <v>203</v>
      </c>
      <c r="C158" s="556"/>
      <c r="D158" s="168"/>
      <c r="E158" s="149"/>
      <c r="F158" s="149">
        <f>F155</f>
        <v>0</v>
      </c>
      <c r="G158" s="149"/>
      <c r="H158" s="168">
        <f>SUM(I158:AB158)</f>
        <v>0</v>
      </c>
      <c r="I158" s="610">
        <f>-PV(InterestRate,I$8,,(SUM(AC158:AF158)))</f>
        <v>0</v>
      </c>
      <c r="J158" s="610">
        <f>-PV(InterestRate,J$8,,(SUM(AG158:AJ158)))</f>
        <v>0</v>
      </c>
      <c r="K158" s="610">
        <f>-PV(InterestRate,K$8,,(SUM(AK158:AN158)))</f>
        <v>0</v>
      </c>
      <c r="L158" s="610">
        <f>-PV(InterestRate,L$8,,(SUM(AO158:AR158)))</f>
        <v>0</v>
      </c>
      <c r="M158" s="610">
        <f>-PV(InterestRate,M$8,,(SUM(AS158:AV158)))</f>
        <v>0</v>
      </c>
      <c r="N158" s="610">
        <f>-PV(InterestRate,N$8,,(SUM(AW158:AZ158)))</f>
        <v>0</v>
      </c>
      <c r="O158" s="610">
        <f>-PV(InterestRate,O$8,,(SUM(BA158:BD158)))</f>
        <v>0</v>
      </c>
      <c r="P158" s="610">
        <f>-PV(InterestRate,P$8,,(SUM(BE158:BH158)))</f>
        <v>0</v>
      </c>
      <c r="Q158" s="610">
        <f>-PV(InterestRate,Q$8,,(SUM(BI158:BL158)))</f>
        <v>0</v>
      </c>
      <c r="R158" s="610">
        <f>-PV(InterestRate,R$8,,(SUM(BM158:BP158)))</f>
        <v>0</v>
      </c>
      <c r="S158" s="610">
        <f>-PV(InterestRate,S$8,,(SUM(BQ158:BT158)))</f>
        <v>0</v>
      </c>
      <c r="T158" s="610">
        <f>-PV(InterestRate,T$8,,(SUM(BU158:BX158)))</f>
        <v>0</v>
      </c>
      <c r="U158" s="610">
        <f>-PV(InterestRate,U$8,,(SUM(BY158:CB158)))</f>
        <v>0</v>
      </c>
      <c r="V158" s="610">
        <f>-PV(InterestRate,V$8,,(SUM(CC158:CF158)))</f>
        <v>0</v>
      </c>
      <c r="W158" s="610">
        <f>-PV(InterestRate,W$8,,(SUM(CG158:CJ158)))</f>
        <v>0</v>
      </c>
      <c r="X158" s="610">
        <f>-PV(InterestRate,X$8,,(SUM(CK158:CN158)))</f>
        <v>0</v>
      </c>
      <c r="Y158" s="610">
        <f>-PV(InterestRate,Y$8,,(SUM(CO158:CR158)))</f>
        <v>0</v>
      </c>
      <c r="Z158" s="610">
        <f>-PV(InterestRate,Z$8,,(SUM(CS158:CV158)))</f>
        <v>0</v>
      </c>
      <c r="AA158" s="610">
        <f>-PV(InterestRate,AA$8,,(SUM(CW158:CZ158)))</f>
        <v>0</v>
      </c>
      <c r="AB158" s="611">
        <f>-PV(InterestRate,AB$8,,(SUM(DA158:DD158)))</f>
        <v>0</v>
      </c>
      <c r="AC158" s="160"/>
      <c r="AD158" s="150"/>
      <c r="AE158" s="150"/>
      <c r="AF158" s="165"/>
      <c r="AG158" s="168"/>
      <c r="AH158" s="149"/>
      <c r="AI158" s="149"/>
      <c r="AJ158" s="171"/>
      <c r="AK158" s="160"/>
      <c r="AL158" s="150"/>
      <c r="AM158" s="150"/>
      <c r="AN158" s="165"/>
      <c r="AO158" s="168">
        <f>IF($C158&gt;0,(IF($C158=$AO$7,(-FV(InflationRate,$AO$7,,$D158)),0)),0)</f>
        <v>0</v>
      </c>
      <c r="AP158" s="149">
        <f>IF($C158&gt;0,(IF($AO$7&gt;=$C158+1, (-FV(InflationRate,$AO$7,,$E158)), 0)),0)</f>
        <v>0</v>
      </c>
      <c r="AQ158" s="149">
        <f>IF($C158&gt;0,(IF($AO$7&gt;=$C158+1, (-FV(InflationRate,$AO$7,,$F158)), 0)),0)</f>
        <v>0</v>
      </c>
      <c r="AR158" s="157">
        <f>IF($C158&gt;0,(IF($AO$7&gt;=$C158+1, (-FV(InflationRate,$AO$7,,$G158)), 0)),0)</f>
        <v>0</v>
      </c>
      <c r="AS158" s="160">
        <f>IF($C158&gt;0,(IF($C158=$AS$7,(-FV(InflationRate,$AS$7,,$D158)),0)),0)</f>
        <v>0</v>
      </c>
      <c r="AT158" s="150">
        <f>IF($C158&gt;0,(IF($AS$7&gt;=$C158+1, (-FV(InflationRate,$AS$7,,$E158)), 0)),0)</f>
        <v>0</v>
      </c>
      <c r="AU158" s="150">
        <f>IF($C158&gt;0,(IF($AS$7&gt;=$C158+1, (-FV(InflationRate,$AS$7,,$F158)), 0)),0)</f>
        <v>0</v>
      </c>
      <c r="AV158" s="165">
        <f>IF($C158&gt;0,(IF($AS$7&gt;=$C158+1, (-FV(InflationRate,$AS$7,,$G158)), 0)),0)</f>
        <v>0</v>
      </c>
      <c r="AW158" s="168">
        <f>IF($C158&gt;0,(IF($C158=$AW$7,(-FV(InflationRate,$AW$7,,$D158)),0)),0)</f>
        <v>0</v>
      </c>
      <c r="AX158" s="149">
        <f>IF($C158&gt;0,(IF($AW$7&gt;=$C158+1, (-FV(InflationRate,$AW$7,,$E158)), 0)),0)</f>
        <v>0</v>
      </c>
      <c r="AY158" s="149">
        <f>IF($C158&gt;0,(IF($AW$7&gt;=$C158+1, (-FV(InflationRate,$AW$7,,$F158)), 0)),0)</f>
        <v>0</v>
      </c>
      <c r="AZ158" s="157">
        <f>IF($C158&gt;0,(IF($AW$7&gt;=$C158+1, (-FV(InflationRate,$AW$7,,$G158)), 0)),0)</f>
        <v>0</v>
      </c>
      <c r="BA158" s="160">
        <f>IF($C158&gt;0,(IF($C158=$BA$7,(-FV(InflationRate,$BA$7,,$D158)),0)),0)</f>
        <v>0</v>
      </c>
      <c r="BB158" s="150">
        <f>IF($C158&gt;0,(IF($BA$7&gt;=$C158+1, (-FV(InflationRate,$BA$7,,$E158)), 0)),0)</f>
        <v>0</v>
      </c>
      <c r="BC158" s="150">
        <f>IF($C158&gt;0,(IF($BA$7&gt;=$C158+1, (-FV(InflationRate,$BA$7,,$F158)), 0)),0)</f>
        <v>0</v>
      </c>
      <c r="BD158" s="176">
        <f>IF($C158&gt;0,(IF($BA$7&gt;=$C158+1, (-FV(InflationRate,$BA$7,,$G158)), 0)),0)</f>
        <v>0</v>
      </c>
      <c r="BE158" s="168">
        <f>IF($C158&gt;0,(IF($C158=$BE$7,(-FV(InflationRate,$BE$7,,$D158)),0)),0)</f>
        <v>0</v>
      </c>
      <c r="BF158" s="149">
        <f>IF($C158&gt;0,(IF($BE$7&gt;=$C158+1, (-FV(InflationRate,$BE$7,,$E158)), 0)),0)</f>
        <v>0</v>
      </c>
      <c r="BG158" s="149">
        <f>IF($C158&gt;0,(IF($BE$7&gt;=$C158+1, (-FV(InflationRate,$BE$7,,$F158)), 0)),0)</f>
        <v>0</v>
      </c>
      <c r="BH158" s="171">
        <f>IF($C158&gt;0,(IF($BE$7&gt;=$C158+1, (-FV(InflationRate,$BE$7,,$G158)), 0)),0)</f>
        <v>0</v>
      </c>
      <c r="BI158" s="160">
        <f>IF($C158&gt;0,(IF($C158=$BI$7,(-FV(InflationRate,$BI$7,,$D158)),0)),0)</f>
        <v>0</v>
      </c>
      <c r="BJ158" s="150">
        <f>IF($C158&gt;0,(IF($BI$7&gt;=$C158+1, (-FV(InflationRate,$BI$7,,$E158)), 0)),0)</f>
        <v>0</v>
      </c>
      <c r="BK158" s="150">
        <f>IF($C158&gt;0,(IF($BI$7&gt;=$C158+1, (-FV(InflationRate,$BI$7,,$F158)), 0)),0)</f>
        <v>0</v>
      </c>
      <c r="BL158" s="176">
        <f>IF($C158&gt;0,(IF($BI$7&gt;=$C158+1, (-FV(InflationRate,$BI$7,,$G158)), 0)),0)</f>
        <v>0</v>
      </c>
      <c r="BM158" s="168">
        <f>IF($C158&gt;0,(IF($C158=$BM$7,(-FV(InflationRate,$BM$7,,$D158)),0)),0)</f>
        <v>0</v>
      </c>
      <c r="BN158" s="149">
        <f>IF($C158&gt;0,(IF($BM$7&gt;=$C158+1, (-FV(InflationRate,$BM$7,,$E158)), 0)),0)</f>
        <v>0</v>
      </c>
      <c r="BO158" s="149">
        <f>IF($C158&gt;0,(IF($BM$7&gt;=$C158+1, (-FV(InflationRate,$BM$7,,$F158)), 0)),0)</f>
        <v>0</v>
      </c>
      <c r="BP158" s="157">
        <f>IF($C158&gt;0,(IF($BM$7&gt;=$C158+1, (-FV(InflationRate,$BM$7,,$G158)), 0)),0)</f>
        <v>0</v>
      </c>
      <c r="BQ158" s="160">
        <f>IF($C158&gt;0,(IF($C158=$BQ$7,(-FV(InflationRate,$BQ$7,,$D158)),0)),0)</f>
        <v>0</v>
      </c>
      <c r="BR158" s="150">
        <f>IF($C158&gt;0,(IF($BQ$7&gt;=$C158+1, (-FV(InflationRate,$BQ$7,,$E158)), 0)),0)</f>
        <v>0</v>
      </c>
      <c r="BS158" s="150">
        <f>IF($C158&gt;0,(IF($BQ$7&gt;=$C158+1, (-FV(InflationRate,$BQ$7,,$F158)), 0)),0)</f>
        <v>0</v>
      </c>
      <c r="BT158" s="176">
        <f>IF($C158&gt;0,(IF($BQ$7&gt;=$C158+1, (-FV(InflationRate,$BQ$7,,$G158)), 0)),0)</f>
        <v>0</v>
      </c>
      <c r="BU158" s="168">
        <f>IF($C158&gt;0,(IF($C158=$BU$7,(-FV(InflationRate,$BU$7,,$D158)),0)),0)</f>
        <v>0</v>
      </c>
      <c r="BV158" s="149">
        <f>IF($C158&gt;0,(IF($BU$7&gt;=$C158+1, (-FV(InflationRate,$BU$7,,$E158)), 0)),0)</f>
        <v>0</v>
      </c>
      <c r="BW158" s="149">
        <f>IF($C158&gt;0,(IF($BU$7&gt;=$C158+1, (-FV(InflationRate,$BU$7,,$F158)), 0)),0)</f>
        <v>0</v>
      </c>
      <c r="BX158" s="157">
        <f>IF($C158&gt;0,(IF($BU$7&gt;=$C158+1, (-FV(InflationRate,$BU$7,,$G158)), 0)),0)</f>
        <v>0</v>
      </c>
      <c r="BY158" s="160">
        <f>IF($C158&gt;0,(IF($C158=$BY$7,(-FV(InflationRate,$BY$7,,$D158)),0)),0)</f>
        <v>0</v>
      </c>
      <c r="BZ158" s="150">
        <f>IF($C158&gt;0,(IF($BY$7&gt;=$C158+1, (-FV(InflationRate,$BY$7,,$E158)), 0)),0)</f>
        <v>0</v>
      </c>
      <c r="CA158" s="150">
        <f>IF($C158&gt;0,(IF($BY$7&gt;=$C158+1, (-FV(InflationRate,$BY$7,,$F158)), 0)),0)</f>
        <v>0</v>
      </c>
      <c r="CB158" s="176">
        <f>IF($C158&gt;0,(IF($BY$7&gt;=$C158+1, (-FV(InflationRate,$BY$7,,$G158)), 0)),0)</f>
        <v>0</v>
      </c>
      <c r="CC158" s="168">
        <f>IF($C158&gt;0,(IF($C158=$CC$7,(-FV(InflationRate,$CC$7,,$D158)),0)),0)</f>
        <v>0</v>
      </c>
      <c r="CD158" s="149">
        <f>IF($C158&gt;0,(IF($CC$7&gt;=$C158+1, (-FV(InflationRate,$CC$7,,$E158)), 0)),0)</f>
        <v>0</v>
      </c>
      <c r="CE158" s="149">
        <f>IF($C158&gt;0,(IF($CC$7&gt;=$C158+1, (-FV(InflationRate,$CC$7,,$F158)), 0)),0)</f>
        <v>0</v>
      </c>
      <c r="CF158" s="157">
        <f>IF($C158&gt;0,(IF($CC$7&gt;=$C158+1, (-FV(InflationRate,$CC$7,,$G158)), 0)),0)</f>
        <v>0</v>
      </c>
      <c r="CG158" s="160">
        <f>IF($C158&gt;0,(IF($C158=$CG$7,(-FV(InflationRate,$CG$7,,$D158)),0)),0)</f>
        <v>0</v>
      </c>
      <c r="CH158" s="150">
        <f>IF($C158&gt;0,(IF($CG$7&gt;=$C158+1, (-FV(InflationRate,$CG$7,,$E158)), 0)),0)</f>
        <v>0</v>
      </c>
      <c r="CI158" s="150">
        <f>IF($C158&gt;0,(IF($CG$7&gt;=$C158+1, (-FV(InflationRate,$CG$7,,$F158)), 0)),0)</f>
        <v>0</v>
      </c>
      <c r="CJ158" s="176">
        <f>IF($C158&gt;0,(IF($CG$7&gt;=$C158+1, (-FV(InflationRate,$CG$7,,$G158)), 0)),0)</f>
        <v>0</v>
      </c>
      <c r="CK158" s="168">
        <f>IF($C158&gt;0,(IF($C158=$CK$7,(-FV(InflationRate,$CK$7,,$D158)),0)),0)</f>
        <v>0</v>
      </c>
      <c r="CL158" s="149">
        <f>IF($C158&gt;0,(IF($CK$7&gt;=$C158+1, (-FV(InflationRate,$CK$7,,$E158)), 0)),0)</f>
        <v>0</v>
      </c>
      <c r="CM158" s="149">
        <f>IF($C158&gt;0,(IF($CK$7&gt;=$C158+1, (-FV(InflationRate,$CK$7,,$F158)), 0)),0)</f>
        <v>0</v>
      </c>
      <c r="CN158" s="157">
        <f>IF($C158&gt;0,(IF($CK$7&gt;=$C158+1, (-FV(InflationRate,$CK$7,,$G158)), 0)),0)</f>
        <v>0</v>
      </c>
      <c r="CO158" s="160">
        <f>IF($C158&gt;0,(IF($C158=$CO$7,(-FV(InflationRate,$CO$7,,$D158)),0)),0)</f>
        <v>0</v>
      </c>
      <c r="CP158" s="150">
        <f>IF($C158&gt;0,(IF($CO$7&gt;=$C158+1, (-FV(InflationRate,$CO$7,,$E158)), 0)),0)</f>
        <v>0</v>
      </c>
      <c r="CQ158" s="150">
        <f>IF($C158&gt;0,(IF($CO$7&gt;=$C158+1, (-FV(InflationRate,$CO$7,,$F158)), 0)),0)</f>
        <v>0</v>
      </c>
      <c r="CR158" s="176">
        <f>IF($C158&gt;0,(IF($CO$7&gt;=$C158+1, (-FV(InflationRate,$CO$7,,$G158)), 0)),0)</f>
        <v>0</v>
      </c>
      <c r="CS158" s="168">
        <f>IF($C158&gt;0,(IF($C158=$CS$7,(-FV(InflationRate,$CS$7,,$D158)),0)),0)</f>
        <v>0</v>
      </c>
      <c r="CT158" s="149">
        <f>IF($C158&gt;0,(IF($CS$7&gt;=$C158+1, (-FV(InflationRate,$CS$7,,$E158)), 0)),0)</f>
        <v>0</v>
      </c>
      <c r="CU158" s="149">
        <f>IF($C158&gt;0,(IF($CS$7&gt;=$C158+1, (-FV(InflationRate,$CS$7,,$F158)), 0)),0)</f>
        <v>0</v>
      </c>
      <c r="CV158" s="157">
        <f>IF($C158&gt;0,(IF($CS$7&gt;=$C158+1, (-FV(InflationRate,$CS$7,,$G158)), 0)),0)</f>
        <v>0</v>
      </c>
      <c r="CW158" s="160">
        <f>IF($C158&gt;0,(IF($C158=$CW$7,(-FV(InflationRate,$CW$7,,$D158)),0)),0)</f>
        <v>0</v>
      </c>
      <c r="CX158" s="150">
        <f>IF($C158&gt;0,(IF($CW$7&gt;=$C158+1, (-FV(InflationRate,$CW$7,,$E158)), 0)),0)</f>
        <v>0</v>
      </c>
      <c r="CY158" s="150">
        <f>IF($C158&gt;0,(IF($CW$7&gt;=$C158+1, (-FV(InflationRate,$CW$7,,$F158)), 0)),0)</f>
        <v>0</v>
      </c>
      <c r="CZ158" s="176">
        <f>IF($C158&gt;0,(IF($CW$7&gt;=$C158+1, (-FV(InflationRate,$CW$7,,$G158)), 0)),0)</f>
        <v>0</v>
      </c>
      <c r="DA158" s="168">
        <f>IF($C158&gt;0,(IF($C158=$DA$7,(-FV(InflationRate,$DA$7,,$D158)),0)),0)</f>
        <v>0</v>
      </c>
      <c r="DB158" s="149">
        <f>IF($C158&gt;0,(IF($DA$7&gt;=$C158+1, (-FV(InflationRate,$DA$7,,$E158)), 0)),0)</f>
        <v>0</v>
      </c>
      <c r="DC158" s="149">
        <f>IF($C158&gt;0,(IF($DA$7&gt;=$C158+1, (-FV(InflationRate,$DA$7,,$F158)), 0)),0)</f>
        <v>0</v>
      </c>
      <c r="DD158" s="157">
        <f>IF($C158&gt;0,(IF($DA$7&gt;=$C158+1, (-FV(InflationRate,$DA$7,,$G158)), 0)),0)</f>
        <v>0</v>
      </c>
    </row>
    <row r="159" spans="2:108" x14ac:dyDescent="0.2">
      <c r="B159" s="183"/>
      <c r="C159" s="189"/>
      <c r="D159" s="168"/>
      <c r="E159" s="149"/>
      <c r="F159" s="149"/>
      <c r="G159" s="149"/>
      <c r="H159" s="168"/>
      <c r="I159" s="600"/>
      <c r="J159" s="600"/>
      <c r="K159" s="600"/>
      <c r="L159" s="600"/>
      <c r="M159" s="600"/>
      <c r="N159" s="600"/>
      <c r="O159" s="600"/>
      <c r="P159" s="600"/>
      <c r="Q159" s="600"/>
      <c r="R159" s="600"/>
      <c r="S159" s="600"/>
      <c r="T159" s="600"/>
      <c r="U159" s="600"/>
      <c r="V159" s="600"/>
      <c r="W159" s="600"/>
      <c r="X159" s="600"/>
      <c r="Y159" s="600"/>
      <c r="Z159" s="600"/>
      <c r="AA159" s="600"/>
      <c r="AB159" s="601"/>
      <c r="AC159" s="160"/>
      <c r="AD159" s="150"/>
      <c r="AE159" s="150"/>
      <c r="AF159" s="165"/>
      <c r="AG159" s="168"/>
      <c r="AH159" s="149"/>
      <c r="AI159" s="149"/>
      <c r="AJ159" s="171"/>
      <c r="AK159" s="160"/>
      <c r="AL159" s="150"/>
      <c r="AM159" s="150"/>
      <c r="AN159" s="165"/>
      <c r="AO159" s="168"/>
      <c r="AP159" s="149"/>
      <c r="AQ159" s="149"/>
      <c r="AR159" s="157"/>
      <c r="AS159" s="160"/>
      <c r="AT159" s="150"/>
      <c r="AU159" s="150"/>
      <c r="AV159" s="165"/>
      <c r="AW159" s="168"/>
      <c r="AX159" s="149"/>
      <c r="AY159" s="149"/>
      <c r="AZ159" s="157"/>
      <c r="BA159" s="160"/>
      <c r="BB159" s="150"/>
      <c r="BC159" s="150"/>
      <c r="BD159" s="176"/>
      <c r="BE159" s="168"/>
      <c r="BF159" s="149"/>
      <c r="BG159" s="149"/>
      <c r="BH159" s="171"/>
      <c r="BI159" s="160"/>
      <c r="BJ159" s="150"/>
      <c r="BK159" s="150"/>
      <c r="BL159" s="176"/>
      <c r="BM159" s="168"/>
      <c r="BN159" s="149"/>
      <c r="BO159" s="149"/>
      <c r="BP159" s="157"/>
      <c r="BQ159" s="160"/>
      <c r="BR159" s="150"/>
      <c r="BS159" s="150"/>
      <c r="BT159" s="176"/>
      <c r="BU159" s="168"/>
      <c r="BV159" s="149"/>
      <c r="BW159" s="149"/>
      <c r="BX159" s="157"/>
      <c r="BY159" s="160"/>
      <c r="BZ159" s="150"/>
      <c r="CA159" s="150"/>
      <c r="CB159" s="176"/>
      <c r="CC159" s="168"/>
      <c r="CD159" s="149"/>
      <c r="CE159" s="149"/>
      <c r="CF159" s="157"/>
      <c r="CG159" s="160"/>
      <c r="CH159" s="150"/>
      <c r="CI159" s="150"/>
      <c r="CJ159" s="176"/>
      <c r="CK159" s="168"/>
      <c r="CL159" s="149"/>
      <c r="CM159" s="149"/>
      <c r="CN159" s="157"/>
      <c r="CO159" s="160"/>
      <c r="CP159" s="150"/>
      <c r="CQ159" s="150"/>
      <c r="CR159" s="176"/>
      <c r="CS159" s="168"/>
      <c r="CT159" s="149"/>
      <c r="CU159" s="149"/>
      <c r="CV159" s="157"/>
      <c r="CW159" s="160"/>
      <c r="CX159" s="150"/>
      <c r="CY159" s="150"/>
      <c r="CZ159" s="176"/>
      <c r="DA159" s="168"/>
      <c r="DB159" s="149"/>
      <c r="DC159" s="149"/>
      <c r="DD159" s="157"/>
    </row>
    <row r="160" spans="2:108" x14ac:dyDescent="0.2">
      <c r="B160" s="188" t="s">
        <v>39</v>
      </c>
      <c r="C160" s="193"/>
      <c r="D160" s="168"/>
      <c r="E160" s="149"/>
      <c r="F160" s="149"/>
      <c r="G160" s="149"/>
      <c r="H160" s="168"/>
      <c r="I160" s="600"/>
      <c r="J160" s="600"/>
      <c r="K160" s="600"/>
      <c r="L160" s="600"/>
      <c r="M160" s="600"/>
      <c r="N160" s="600"/>
      <c r="O160" s="600"/>
      <c r="P160" s="600"/>
      <c r="Q160" s="600"/>
      <c r="R160" s="600"/>
      <c r="S160" s="600"/>
      <c r="T160" s="600"/>
      <c r="U160" s="600"/>
      <c r="V160" s="600"/>
      <c r="W160" s="600"/>
      <c r="X160" s="600"/>
      <c r="Y160" s="600"/>
      <c r="Z160" s="600"/>
      <c r="AA160" s="600"/>
      <c r="AB160" s="601"/>
      <c r="AC160" s="160"/>
      <c r="AD160" s="150"/>
      <c r="AE160" s="150"/>
      <c r="AF160" s="165"/>
      <c r="AG160" s="168"/>
      <c r="AH160" s="149"/>
      <c r="AI160" s="149"/>
      <c r="AJ160" s="171"/>
      <c r="AK160" s="160"/>
      <c r="AL160" s="150"/>
      <c r="AM160" s="150"/>
      <c r="AN160" s="165"/>
      <c r="AO160" s="168"/>
      <c r="AP160" s="149"/>
      <c r="AQ160" s="149"/>
      <c r="AR160" s="157"/>
      <c r="AS160" s="160"/>
      <c r="AT160" s="150"/>
      <c r="AU160" s="150"/>
      <c r="AV160" s="165"/>
      <c r="AW160" s="168"/>
      <c r="AX160" s="149"/>
      <c r="AY160" s="149"/>
      <c r="AZ160" s="157"/>
      <c r="BA160" s="160"/>
      <c r="BB160" s="150"/>
      <c r="BC160" s="150"/>
      <c r="BD160" s="176"/>
      <c r="BE160" s="168"/>
      <c r="BF160" s="149"/>
      <c r="BG160" s="149"/>
      <c r="BH160" s="171"/>
      <c r="BI160" s="160"/>
      <c r="BJ160" s="150"/>
      <c r="BK160" s="150"/>
      <c r="BL160" s="176"/>
      <c r="BM160" s="168"/>
      <c r="BN160" s="149"/>
      <c r="BO160" s="149"/>
      <c r="BP160" s="157"/>
      <c r="BQ160" s="160"/>
      <c r="BR160" s="150"/>
      <c r="BS160" s="150"/>
      <c r="BT160" s="176"/>
      <c r="BU160" s="168"/>
      <c r="BV160" s="149"/>
      <c r="BW160" s="149"/>
      <c r="BX160" s="157"/>
      <c r="BY160" s="160"/>
      <c r="BZ160" s="150"/>
      <c r="CA160" s="150"/>
      <c r="CB160" s="176"/>
      <c r="CC160" s="168"/>
      <c r="CD160" s="149"/>
      <c r="CE160" s="149"/>
      <c r="CF160" s="157"/>
      <c r="CG160" s="160"/>
      <c r="CH160" s="150"/>
      <c r="CI160" s="150"/>
      <c r="CJ160" s="176"/>
      <c r="CK160" s="168"/>
      <c r="CL160" s="149"/>
      <c r="CM160" s="149"/>
      <c r="CN160" s="157"/>
      <c r="CO160" s="160"/>
      <c r="CP160" s="150"/>
      <c r="CQ160" s="150"/>
      <c r="CR160" s="176"/>
      <c r="CS160" s="168"/>
      <c r="CT160" s="149"/>
      <c r="CU160" s="149"/>
      <c r="CV160" s="157"/>
      <c r="CW160" s="160"/>
      <c r="CX160" s="150"/>
      <c r="CY160" s="150"/>
      <c r="CZ160" s="176"/>
      <c r="DA160" s="168"/>
      <c r="DB160" s="149"/>
      <c r="DC160" s="149"/>
      <c r="DD160" s="157"/>
    </row>
    <row r="161" spans="2:108" ht="24" x14ac:dyDescent="0.2">
      <c r="B161" s="182" t="str">
        <f>'Aqua - D1'!B5</f>
        <v>Aquaculture/Shellfish Propagation - Demonstration 1 - Terminal Pond Oyster Bed</v>
      </c>
      <c r="C161" s="189"/>
      <c r="D161" s="194">
        <f>'Aqua - D1'!F34</f>
        <v>126900</v>
      </c>
      <c r="E161" s="195">
        <f>'Aqua - D1'!F63</f>
        <v>143800</v>
      </c>
      <c r="F161" s="195">
        <f>'Aqua - D1'!F94</f>
        <v>0</v>
      </c>
      <c r="G161" s="195">
        <f>'Aqua - D1'!F123</f>
        <v>0</v>
      </c>
      <c r="H161" s="168"/>
      <c r="I161" s="600"/>
      <c r="J161" s="600"/>
      <c r="K161" s="600"/>
      <c r="L161" s="600"/>
      <c r="M161" s="600"/>
      <c r="N161" s="600"/>
      <c r="O161" s="600"/>
      <c r="P161" s="600"/>
      <c r="Q161" s="600"/>
      <c r="R161" s="600"/>
      <c r="S161" s="600"/>
      <c r="T161" s="600"/>
      <c r="U161" s="600"/>
      <c r="V161" s="600"/>
      <c r="W161" s="600"/>
      <c r="X161" s="600"/>
      <c r="Y161" s="600"/>
      <c r="Z161" s="600"/>
      <c r="AA161" s="600"/>
      <c r="AB161" s="601"/>
      <c r="AC161" s="160"/>
      <c r="AD161" s="150"/>
      <c r="AE161" s="150"/>
      <c r="AF161" s="165"/>
      <c r="AG161" s="168"/>
      <c r="AH161" s="149"/>
      <c r="AI161" s="149"/>
      <c r="AJ161" s="171"/>
      <c r="AK161" s="160"/>
      <c r="AL161" s="150"/>
      <c r="AM161" s="150"/>
      <c r="AN161" s="165"/>
      <c r="AO161" s="168"/>
      <c r="AP161" s="149"/>
      <c r="AQ161" s="149"/>
      <c r="AR161" s="157"/>
      <c r="AS161" s="160"/>
      <c r="AT161" s="150"/>
      <c r="AU161" s="150"/>
      <c r="AV161" s="165"/>
      <c r="AW161" s="168"/>
      <c r="AX161" s="149"/>
      <c r="AY161" s="149"/>
      <c r="AZ161" s="157"/>
      <c r="BA161" s="160"/>
      <c r="BB161" s="150"/>
      <c r="BC161" s="150"/>
      <c r="BD161" s="176"/>
      <c r="BE161" s="168"/>
      <c r="BF161" s="149"/>
      <c r="BG161" s="149"/>
      <c r="BH161" s="171"/>
      <c r="BI161" s="160"/>
      <c r="BJ161" s="150"/>
      <c r="BK161" s="150"/>
      <c r="BL161" s="176"/>
      <c r="BM161" s="168"/>
      <c r="BN161" s="149"/>
      <c r="BO161" s="149"/>
      <c r="BP161" s="157"/>
      <c r="BQ161" s="160"/>
      <c r="BR161" s="150"/>
      <c r="BS161" s="150"/>
      <c r="BT161" s="176"/>
      <c r="BU161" s="168"/>
      <c r="BV161" s="149"/>
      <c r="BW161" s="149"/>
      <c r="BX161" s="157"/>
      <c r="BY161" s="160"/>
      <c r="BZ161" s="150"/>
      <c r="CA161" s="150"/>
      <c r="CB161" s="176"/>
      <c r="CC161" s="168"/>
      <c r="CD161" s="149"/>
      <c r="CE161" s="149"/>
      <c r="CF161" s="157"/>
      <c r="CG161" s="160"/>
      <c r="CH161" s="150"/>
      <c r="CI161" s="150"/>
      <c r="CJ161" s="176"/>
      <c r="CK161" s="168"/>
      <c r="CL161" s="149"/>
      <c r="CM161" s="149"/>
      <c r="CN161" s="157"/>
      <c r="CO161" s="160"/>
      <c r="CP161" s="150"/>
      <c r="CQ161" s="150"/>
      <c r="CR161" s="176"/>
      <c r="CS161" s="168"/>
      <c r="CT161" s="149"/>
      <c r="CU161" s="149"/>
      <c r="CV161" s="157"/>
      <c r="CW161" s="160"/>
      <c r="CX161" s="150"/>
      <c r="CY161" s="150"/>
      <c r="CZ161" s="176"/>
      <c r="DA161" s="168"/>
      <c r="DB161" s="149"/>
      <c r="DC161" s="149"/>
      <c r="DD161" s="157"/>
    </row>
    <row r="162" spans="2:108" x14ac:dyDescent="0.2">
      <c r="B162" s="183" t="s">
        <v>220</v>
      </c>
      <c r="C162" s="556">
        <v>1</v>
      </c>
      <c r="D162" s="168">
        <f>'Aqua - D1'!F31+'Aqua - D1'!F32</f>
        <v>24700</v>
      </c>
      <c r="E162" s="149"/>
      <c r="F162" s="149"/>
      <c r="G162" s="149"/>
      <c r="H162" s="168">
        <f>SUM(I162:AB162)</f>
        <v>24334.97536945813</v>
      </c>
      <c r="I162" s="610">
        <f>-PV(InterestRate,I$8,,(SUM(AC162:AF162)))</f>
        <v>24334.97536945813</v>
      </c>
      <c r="J162" s="610">
        <f>-PV(InterestRate,J$8,,(SUM(AG162:AJ162)))</f>
        <v>0</v>
      </c>
      <c r="K162" s="610">
        <f>-PV(InterestRate,K$8,,(SUM(AK162:AN162)))</f>
        <v>0</v>
      </c>
      <c r="L162" s="610">
        <f>-PV(InterestRate,L$8,,(SUM(AO162:AR162)))</f>
        <v>0</v>
      </c>
      <c r="M162" s="610">
        <f>-PV(InterestRate,M$8,,(SUM(AS162:AV162)))</f>
        <v>0</v>
      </c>
      <c r="N162" s="610">
        <f>-PV(InterestRate,N$8,,(SUM(AW162:AZ162)))</f>
        <v>0</v>
      </c>
      <c r="O162" s="610">
        <f>-PV(InterestRate,O$8,,(SUM(BA162:BD162)))</f>
        <v>0</v>
      </c>
      <c r="P162" s="610">
        <f>-PV(InterestRate,P$8,,(SUM(BE162:BH162)))</f>
        <v>0</v>
      </c>
      <c r="Q162" s="610">
        <f>-PV(InterestRate,Q$8,,(SUM(BI162:BL162)))</f>
        <v>0</v>
      </c>
      <c r="R162" s="610">
        <f>-PV(InterestRate,R$8,,(SUM(BM162:BP162)))</f>
        <v>0</v>
      </c>
      <c r="S162" s="610">
        <f>-PV(InterestRate,S$8,,(SUM(BQ162:BT162)))</f>
        <v>0</v>
      </c>
      <c r="T162" s="610">
        <f>-PV(InterestRate,T$8,,(SUM(BU162:BX162)))</f>
        <v>0</v>
      </c>
      <c r="U162" s="610">
        <f>-PV(InterestRate,U$8,,(SUM(BY162:CB162)))</f>
        <v>0</v>
      </c>
      <c r="V162" s="610">
        <f>-PV(InterestRate,V$8,,(SUM(CC162:CF162)))</f>
        <v>0</v>
      </c>
      <c r="W162" s="610">
        <f>-PV(InterestRate,W$8,,(SUM(CG162:CJ162)))</f>
        <v>0</v>
      </c>
      <c r="X162" s="610">
        <f>-PV(InterestRate,X$8,,(SUM(CK162:CN162)))</f>
        <v>0</v>
      </c>
      <c r="Y162" s="610">
        <f>-PV(InterestRate,Y$8,,(SUM(CO162:CR162)))</f>
        <v>0</v>
      </c>
      <c r="Z162" s="610">
        <f>-PV(InterestRate,Z$8,,(SUM(CS162:CV162)))</f>
        <v>0</v>
      </c>
      <c r="AA162" s="610">
        <f>-PV(InterestRate,AA$8,,(SUM(CW162:CZ162)))</f>
        <v>0</v>
      </c>
      <c r="AB162" s="611">
        <f>-PV(InterestRate,AB$8,,(SUM(DA162:DD162)))</f>
        <v>0</v>
      </c>
      <c r="AC162" s="160">
        <f>IF($C162&gt;0,(IF($C162=$AC$7,$D162,0)),0)</f>
        <v>24700</v>
      </c>
      <c r="AD162" s="150">
        <f>IF($C162&gt;0,(IF($AC$7&gt;=$C162+1,$E162,0)),0)</f>
        <v>0</v>
      </c>
      <c r="AE162" s="150">
        <f>IF($C162&gt;0,(IF($C162=$AC$7,$F162,0)),0)</f>
        <v>0</v>
      </c>
      <c r="AF162" s="165">
        <f>IF($C162&gt;0,(IF($AC$7&gt;=$C162+1,$G162,0)),0)</f>
        <v>0</v>
      </c>
      <c r="AG162" s="168">
        <f>IF($C162&gt;0,(IF($C162=$AG$7,(-FV(InflationRate,$AG$7,,$D162)),0)),0)</f>
        <v>0</v>
      </c>
      <c r="AH162" s="149">
        <f>IF($C162&gt;0,(IF($AG$7&gt;=$C162+1, (-FV(InflationRate,$AG$7,,$E162)), 0)),0)</f>
        <v>0</v>
      </c>
      <c r="AI162" s="149">
        <f>IF($C162&gt;0,(IF($AG$7&gt;=$C162+1, (-FV(InflationRate,$AG$7,,$F162)), 0)),0)</f>
        <v>0</v>
      </c>
      <c r="AJ162" s="171">
        <f>IF($C162&gt;0,(IF($AG$7&gt;=$C162+1, (-FV(InflationRate,$AG$7,,$G162)), 0)),0)</f>
        <v>0</v>
      </c>
      <c r="AK162" s="160">
        <f>IF($C162&gt;0,(IF($C162=$AK$7,(-FV(InflationRate,$AK$7,,$D162)),0)),0)</f>
        <v>0</v>
      </c>
      <c r="AL162" s="150">
        <f>IF($C162&gt;0,(IF($AK$7&gt;=$C162+1, (-FV(InflationRate,$AK$7,,$E162)), 0)),0)</f>
        <v>0</v>
      </c>
      <c r="AM162" s="150">
        <f>IF($C162&gt;0,(IF($AK$7&gt;=$C162+1, (-FV(InflationRate,$AK$7,,$F162)), 0)),0)</f>
        <v>0</v>
      </c>
      <c r="AN162" s="165">
        <f>IF($C162&gt;0,(IF($AK$7&gt;=$C162+1, (-FV(InflationRate,$AK$7,,$G162)), 0)),0)</f>
        <v>0</v>
      </c>
      <c r="AO162" s="168">
        <f>IF($C162&gt;0,(IF($C162=$AO$7,(-FV(InflationRate,$AO$7,,$D162)),0)),0)</f>
        <v>0</v>
      </c>
      <c r="AP162" s="149">
        <f>IF($C162&gt;0,(IF($AO$7&gt;=$C162+1, (-FV(InflationRate,$AO$7,,$E162)), 0)),0)</f>
        <v>0</v>
      </c>
      <c r="AQ162" s="149">
        <f>IF($C162&gt;0,(IF($AO$7&gt;=$C162+1, (-FV(InflationRate,$AO$7,,$F162)), 0)),0)</f>
        <v>0</v>
      </c>
      <c r="AR162" s="157">
        <f>IF($C162&gt;0,(IF($AO$7&gt;=$C162+1, (-FV(InflationRate,$AO$7,,$G162)), 0)),0)</f>
        <v>0</v>
      </c>
      <c r="AS162" s="160"/>
      <c r="AT162" s="150"/>
      <c r="AU162" s="150"/>
      <c r="AV162" s="165"/>
      <c r="AW162" s="168"/>
      <c r="AX162" s="149"/>
      <c r="AY162" s="149"/>
      <c r="AZ162" s="157"/>
      <c r="BA162" s="160"/>
      <c r="BB162" s="150"/>
      <c r="BC162" s="150"/>
      <c r="BD162" s="176"/>
      <c r="BE162" s="168"/>
      <c r="BF162" s="149"/>
      <c r="BG162" s="149"/>
      <c r="BH162" s="171"/>
      <c r="BI162" s="160"/>
      <c r="BJ162" s="150"/>
      <c r="BK162" s="150"/>
      <c r="BL162" s="176"/>
      <c r="BM162" s="168"/>
      <c r="BN162" s="149"/>
      <c r="BO162" s="149"/>
      <c r="BP162" s="157"/>
      <c r="BQ162" s="160"/>
      <c r="BR162" s="150"/>
      <c r="BS162" s="150"/>
      <c r="BT162" s="176"/>
      <c r="BU162" s="168"/>
      <c r="BV162" s="149"/>
      <c r="BW162" s="149"/>
      <c r="BX162" s="157"/>
      <c r="BY162" s="160"/>
      <c r="BZ162" s="150"/>
      <c r="CA162" s="150"/>
      <c r="CB162" s="176"/>
      <c r="CC162" s="168"/>
      <c r="CD162" s="149"/>
      <c r="CE162" s="149"/>
      <c r="CF162" s="157"/>
      <c r="CG162" s="160"/>
      <c r="CH162" s="150"/>
      <c r="CI162" s="150"/>
      <c r="CJ162" s="176"/>
      <c r="CK162" s="168"/>
      <c r="CL162" s="149"/>
      <c r="CM162" s="149"/>
      <c r="CN162" s="157"/>
      <c r="CO162" s="160"/>
      <c r="CP162" s="150"/>
      <c r="CQ162" s="150"/>
      <c r="CR162" s="176"/>
      <c r="CS162" s="168"/>
      <c r="CT162" s="149"/>
      <c r="CU162" s="149"/>
      <c r="CV162" s="157"/>
      <c r="CW162" s="160"/>
      <c r="CX162" s="150"/>
      <c r="CY162" s="150"/>
      <c r="CZ162" s="176"/>
      <c r="DA162" s="168"/>
      <c r="DB162" s="149"/>
      <c r="DC162" s="149"/>
      <c r="DD162" s="157"/>
    </row>
    <row r="163" spans="2:108" x14ac:dyDescent="0.2">
      <c r="B163" s="183" t="s">
        <v>270</v>
      </c>
      <c r="C163" s="556">
        <v>1</v>
      </c>
      <c r="D163" s="168">
        <f>D161-D162</f>
        <v>102200</v>
      </c>
      <c r="E163" s="149">
        <f>E161</f>
        <v>143800</v>
      </c>
      <c r="F163" s="149"/>
      <c r="G163" s="149">
        <f>G161</f>
        <v>0</v>
      </c>
      <c r="H163" s="168">
        <f>SUM(I163:AB163)</f>
        <v>551532.14863728127</v>
      </c>
      <c r="I163" s="610">
        <f>-PV(InterestRate,I$8,,(SUM(AC163:AF163)))</f>
        <v>100689.6551724138</v>
      </c>
      <c r="J163" s="610">
        <f>-PV(InterestRate,J$8,,(SUM(AG163:AJ163)))</f>
        <v>148081.65206629623</v>
      </c>
      <c r="K163" s="610">
        <f>-PV(InterestRate,K$8,,(SUM(AK163:AN163)))</f>
        <v>150270.05086530556</v>
      </c>
      <c r="L163" s="610">
        <f>-PV(InterestRate,L$8,,(SUM(AO163:AR163)))</f>
        <v>152490.79053326574</v>
      </c>
      <c r="M163" s="610">
        <f>-PV(InterestRate,M$8,,(SUM(AS163:AV163)))</f>
        <v>0</v>
      </c>
      <c r="N163" s="610">
        <f>-PV(InterestRate,N$8,,(SUM(AW163:AZ163)))</f>
        <v>0</v>
      </c>
      <c r="O163" s="610">
        <f>-PV(InterestRate,O$8,,(SUM(BA163:BD163)))</f>
        <v>0</v>
      </c>
      <c r="P163" s="610">
        <f>-PV(InterestRate,P$8,,(SUM(BE163:BH163)))</f>
        <v>0</v>
      </c>
      <c r="Q163" s="610">
        <f>-PV(InterestRate,Q$8,,(SUM(BI163:BL163)))</f>
        <v>0</v>
      </c>
      <c r="R163" s="610">
        <f>-PV(InterestRate,R$8,,(SUM(BM163:BP163)))</f>
        <v>0</v>
      </c>
      <c r="S163" s="610">
        <f>-PV(InterestRate,S$8,,(SUM(BQ163:BT163)))</f>
        <v>0</v>
      </c>
      <c r="T163" s="610">
        <f>-PV(InterestRate,T$8,,(SUM(BU163:BX163)))</f>
        <v>0</v>
      </c>
      <c r="U163" s="610">
        <f>-PV(InterestRate,U$8,,(SUM(BY163:CB163)))</f>
        <v>0</v>
      </c>
      <c r="V163" s="610">
        <f>-PV(InterestRate,V$8,,(SUM(CC163:CF163)))</f>
        <v>0</v>
      </c>
      <c r="W163" s="610">
        <f>-PV(InterestRate,W$8,,(SUM(CG163:CJ163)))</f>
        <v>0</v>
      </c>
      <c r="X163" s="610">
        <f>-PV(InterestRate,X$8,,(SUM(CK163:CN163)))</f>
        <v>0</v>
      </c>
      <c r="Y163" s="610">
        <f>-PV(InterestRate,Y$8,,(SUM(CO163:CR163)))</f>
        <v>0</v>
      </c>
      <c r="Z163" s="610">
        <f>-PV(InterestRate,Z$8,,(SUM(CS163:CV163)))</f>
        <v>0</v>
      </c>
      <c r="AA163" s="610">
        <f>-PV(InterestRate,AA$8,,(SUM(CW163:CZ163)))</f>
        <v>0</v>
      </c>
      <c r="AB163" s="611">
        <f>-PV(InterestRate,AB$8,,(SUM(DA163:DD163)))</f>
        <v>0</v>
      </c>
      <c r="AC163" s="160">
        <f>IF($C163&gt;0,(IF($C163=$AC$7,$D163,0)),0)</f>
        <v>102200</v>
      </c>
      <c r="AD163" s="150">
        <f>IF($C163&gt;0,(IF($AC$7&gt;=$C163+1,$E163,0)),0)</f>
        <v>0</v>
      </c>
      <c r="AE163" s="150">
        <f>IF($C163&gt;0,(IF($C163=$AC$7,$F163,0)),0)</f>
        <v>0</v>
      </c>
      <c r="AF163" s="165">
        <f>IF($C163&gt;0,(IF($AC$7&gt;=$C163+1,$G163,0)),0)</f>
        <v>0</v>
      </c>
      <c r="AG163" s="168">
        <f>IF($C163&gt;0,(IF($C163=$AG$7,(-FV(InflationRate,$AG$7,,$D163)),0)),0)</f>
        <v>0</v>
      </c>
      <c r="AH163" s="149">
        <f>IF($C163&gt;0,(IF($AG$7&gt;=$C163+1, (-FV(InflationRate,$AG$7,,$E163)), 0)),0)</f>
        <v>152557.41999999998</v>
      </c>
      <c r="AI163" s="149">
        <f>IF($C163&gt;0,(IF($AG$7&gt;=$C163+1, (-FV(InflationRate,$AG$7,,$F163)), 0)),0)</f>
        <v>0</v>
      </c>
      <c r="AJ163" s="171">
        <f>IF($C163&gt;0,(IF($AG$7&gt;=$C163+1, (-FV(InflationRate,$AG$7,,$G163)), 0)),0)</f>
        <v>0</v>
      </c>
      <c r="AK163" s="160">
        <f>IF($C163&gt;0,(IF($C163=$AK$7,(-FV(InflationRate,$AK$7,,$D163)),0)),0)</f>
        <v>0</v>
      </c>
      <c r="AL163" s="150">
        <f>IF($C163&gt;0,(IF($AK$7&gt;=$C163+1, (-FV(InflationRate,$AK$7,,$E163)), 0)),0)</f>
        <v>157134.14259999999</v>
      </c>
      <c r="AM163" s="150">
        <f>IF($C163&gt;0,(IF($AK$7&gt;=$C163+1, (-FV(InflationRate,$AK$7,,$F163)), 0)),0)</f>
        <v>0</v>
      </c>
      <c r="AN163" s="165">
        <f>IF($C163&gt;0,(IF($AK$7&gt;=$C163+1, (-FV(InflationRate,$AK$7,,$G163)), 0)),0)</f>
        <v>0</v>
      </c>
      <c r="AO163" s="168">
        <f>IF($C163&gt;0,(IF($C163=$AO$7,(-FV(InflationRate,$AO$7,,$D163)),0)),0)</f>
        <v>0</v>
      </c>
      <c r="AP163" s="149">
        <f>IF($C163&gt;0,(IF($AO$7&gt;=$C163+1, (-FV(InflationRate,$AO$7,,$E163)), 0)),0)</f>
        <v>161848.16687799999</v>
      </c>
      <c r="AQ163" s="149">
        <f>IF($C163&gt;0,(IF($AO$7&gt;=$C163+1, (-FV(InflationRate,$AO$7,,$F163)), 0)),0)</f>
        <v>0</v>
      </c>
      <c r="AR163" s="157">
        <f>IF($C163&gt;0,(IF($AO$7&gt;=$C163+1, (-FV(InflationRate,$AO$7,,$G163)), 0)),0)</f>
        <v>0</v>
      </c>
      <c r="AS163" s="160"/>
      <c r="AT163" s="150"/>
      <c r="AU163" s="150"/>
      <c r="AV163" s="165"/>
      <c r="AW163" s="168"/>
      <c r="AX163" s="149"/>
      <c r="AY163" s="149"/>
      <c r="AZ163" s="157"/>
      <c r="BA163" s="160"/>
      <c r="BB163" s="150"/>
      <c r="BC163" s="150"/>
      <c r="BD163" s="176"/>
      <c r="BE163" s="168"/>
      <c r="BF163" s="149"/>
      <c r="BG163" s="149"/>
      <c r="BH163" s="171"/>
      <c r="BI163" s="160"/>
      <c r="BJ163" s="150"/>
      <c r="BK163" s="150"/>
      <c r="BL163" s="176"/>
      <c r="BM163" s="168"/>
      <c r="BN163" s="149"/>
      <c r="BO163" s="149"/>
      <c r="BP163" s="157"/>
      <c r="BQ163" s="160"/>
      <c r="BR163" s="150"/>
      <c r="BS163" s="150"/>
      <c r="BT163" s="176"/>
      <c r="BU163" s="168"/>
      <c r="BV163" s="149"/>
      <c r="BW163" s="149"/>
      <c r="BX163" s="157"/>
      <c r="BY163" s="160"/>
      <c r="BZ163" s="150"/>
      <c r="CA163" s="150"/>
      <c r="CB163" s="176"/>
      <c r="CC163" s="168"/>
      <c r="CD163" s="149"/>
      <c r="CE163" s="149"/>
      <c r="CF163" s="157"/>
      <c r="CG163" s="160"/>
      <c r="CH163" s="150"/>
      <c r="CI163" s="150"/>
      <c r="CJ163" s="176"/>
      <c r="CK163" s="168"/>
      <c r="CL163" s="149"/>
      <c r="CM163" s="149"/>
      <c r="CN163" s="157"/>
      <c r="CO163" s="160"/>
      <c r="CP163" s="150"/>
      <c r="CQ163" s="150"/>
      <c r="CR163" s="176"/>
      <c r="CS163" s="168"/>
      <c r="CT163" s="149"/>
      <c r="CU163" s="149"/>
      <c r="CV163" s="157"/>
      <c r="CW163" s="160"/>
      <c r="CX163" s="150"/>
      <c r="CY163" s="150"/>
      <c r="CZ163" s="176"/>
      <c r="DA163" s="168"/>
      <c r="DB163" s="149"/>
      <c r="DC163" s="149"/>
      <c r="DD163" s="157"/>
    </row>
    <row r="164" spans="2:108" x14ac:dyDescent="0.2">
      <c r="B164" s="183" t="s">
        <v>203</v>
      </c>
      <c r="C164" s="556">
        <v>1</v>
      </c>
      <c r="D164" s="168"/>
      <c r="E164" s="149"/>
      <c r="F164" s="149">
        <f>F161</f>
        <v>0</v>
      </c>
      <c r="G164" s="149"/>
      <c r="H164" s="168">
        <f>SUM(I164:AB164)</f>
        <v>0</v>
      </c>
      <c r="I164" s="610">
        <f>-PV(InterestRate,I$8,,(SUM(AC164:AF164)))</f>
        <v>0</v>
      </c>
      <c r="J164" s="610">
        <f>-PV(InterestRate,J$8,,(SUM(AG164:AJ164)))</f>
        <v>0</v>
      </c>
      <c r="K164" s="610">
        <f>-PV(InterestRate,K$8,,(SUM(AK164:AN164)))</f>
        <v>0</v>
      </c>
      <c r="L164" s="610">
        <f>-PV(InterestRate,L$8,,(SUM(AO164:AR164)))</f>
        <v>0</v>
      </c>
      <c r="M164" s="610">
        <f>-PV(InterestRate,M$8,,(SUM(AS164:AV164)))</f>
        <v>0</v>
      </c>
      <c r="N164" s="610">
        <f>-PV(InterestRate,N$8,,(SUM(AW164:AZ164)))</f>
        <v>0</v>
      </c>
      <c r="O164" s="610">
        <f>-PV(InterestRate,O$8,,(SUM(BA164:BD164)))</f>
        <v>0</v>
      </c>
      <c r="P164" s="610">
        <f>-PV(InterestRate,P$8,,(SUM(BE164:BH164)))</f>
        <v>0</v>
      </c>
      <c r="Q164" s="610">
        <f>-PV(InterestRate,Q$8,,(SUM(BI164:BL164)))</f>
        <v>0</v>
      </c>
      <c r="R164" s="610">
        <f>-PV(InterestRate,R$8,,(SUM(BM164:BP164)))</f>
        <v>0</v>
      </c>
      <c r="S164" s="610">
        <f>-PV(InterestRate,S$8,,(SUM(BQ164:BT164)))</f>
        <v>0</v>
      </c>
      <c r="T164" s="610">
        <f>-PV(InterestRate,T$8,,(SUM(BU164:BX164)))</f>
        <v>0</v>
      </c>
      <c r="U164" s="610">
        <f>-PV(InterestRate,U$8,,(SUM(BY164:CB164)))</f>
        <v>0</v>
      </c>
      <c r="V164" s="610">
        <f>-PV(InterestRate,V$8,,(SUM(CC164:CF164)))</f>
        <v>0</v>
      </c>
      <c r="W164" s="610">
        <f>-PV(InterestRate,W$8,,(SUM(CG164:CJ164)))</f>
        <v>0</v>
      </c>
      <c r="X164" s="610">
        <f>-PV(InterestRate,X$8,,(SUM(CK164:CN164)))</f>
        <v>0</v>
      </c>
      <c r="Y164" s="610">
        <f>-PV(InterestRate,Y$8,,(SUM(CO164:CR164)))</f>
        <v>0</v>
      </c>
      <c r="Z164" s="610">
        <f>-PV(InterestRate,Z$8,,(SUM(CS164:CV164)))</f>
        <v>0</v>
      </c>
      <c r="AA164" s="610">
        <f>-PV(InterestRate,AA$8,,(SUM(CW164:CZ164)))</f>
        <v>0</v>
      </c>
      <c r="AB164" s="611">
        <f>-PV(InterestRate,AB$8,,(SUM(DA164:DD164)))</f>
        <v>0</v>
      </c>
      <c r="AC164" s="160">
        <f>IF($C164&gt;0,(IF($C164=$AC$7,$D164,0)),0)</f>
        <v>0</v>
      </c>
      <c r="AD164" s="150">
        <f>IF($C164&gt;0,(IF($AC$7&gt;=$C164+1,$E164,0)),0)</f>
        <v>0</v>
      </c>
      <c r="AE164" s="150">
        <f>IF($C164&gt;0,(IF($C164=$AC$7,$F164,0)),0)</f>
        <v>0</v>
      </c>
      <c r="AF164" s="165">
        <f>IF($C164&gt;0,(IF($AC$7&gt;=$C164+1,$G164,0)),0)</f>
        <v>0</v>
      </c>
      <c r="AG164" s="168">
        <f>IF($C164&gt;0,(IF($C164=$AG$7,(-FV(InflationRate,$AG$7,,$D164)),0)),0)</f>
        <v>0</v>
      </c>
      <c r="AH164" s="149">
        <f>IF($C164&gt;0,(IF($AG$7&gt;=$C164+1, (-FV(InflationRate,$AG$7,,$E164)), 0)),0)</f>
        <v>0</v>
      </c>
      <c r="AI164" s="149">
        <f>IF($C164&gt;0,(IF($AG$7&gt;=$C164+1, (-FV(InflationRate,$AG$7,,$F164)), 0)),0)</f>
        <v>0</v>
      </c>
      <c r="AJ164" s="171">
        <f>IF($C164&gt;0,(IF($AG$7&gt;=$C164+1, (-FV(InflationRate,$AG$7,,$G164)), 0)),0)</f>
        <v>0</v>
      </c>
      <c r="AK164" s="160">
        <f>IF($C164&gt;0,(IF($C164=$AK$7,(-FV(InflationRate,$AK$7,,$D164)),0)),0)</f>
        <v>0</v>
      </c>
      <c r="AL164" s="150">
        <f>IF($C164&gt;0,(IF($AK$7&gt;=$C164+1, (-FV(InflationRate,$AK$7,,$E164)), 0)),0)</f>
        <v>0</v>
      </c>
      <c r="AM164" s="150">
        <f>IF($C164&gt;0,(IF($AK$7&gt;=$C164+1, (-FV(InflationRate,$AK$7,,$F164)), 0)),0)</f>
        <v>0</v>
      </c>
      <c r="AN164" s="165">
        <f>IF($C164&gt;0,(IF($AK$7&gt;=$C164+1, (-FV(InflationRate,$AK$7,,$G164)), 0)),0)</f>
        <v>0</v>
      </c>
      <c r="AO164" s="168">
        <f>IF($C164&gt;0,(IF($C164=$AO$7,(-FV(InflationRate,$AO$7,,$D164)),0)),0)</f>
        <v>0</v>
      </c>
      <c r="AP164" s="149">
        <f>IF($C164&gt;0,(IF($AO$7&gt;=$C164+1, (-FV(InflationRate,$AO$7,,$E164)), 0)),0)</f>
        <v>0</v>
      </c>
      <c r="AQ164" s="149">
        <f>IF($C164&gt;0,(IF($AO$7&gt;=$C164+1, (-FV(InflationRate,$AO$7,,$F164)), 0)),0)</f>
        <v>0</v>
      </c>
      <c r="AR164" s="157">
        <f>IF($C164&gt;0,(IF($AO$7&gt;=$C164+1, (-FV(InflationRate,$AO$7,,$G164)), 0)),0)</f>
        <v>0</v>
      </c>
      <c r="AS164" s="160"/>
      <c r="AT164" s="150"/>
      <c r="AU164" s="150"/>
      <c r="AV164" s="165"/>
      <c r="AW164" s="168"/>
      <c r="AX164" s="149"/>
      <c r="AY164" s="149"/>
      <c r="AZ164" s="157"/>
      <c r="BA164" s="160"/>
      <c r="BB164" s="150"/>
      <c r="BC164" s="150"/>
      <c r="BD164" s="176"/>
      <c r="BE164" s="168"/>
      <c r="BF164" s="149"/>
      <c r="BG164" s="149"/>
      <c r="BH164" s="171"/>
      <c r="BI164" s="160"/>
      <c r="BJ164" s="150"/>
      <c r="BK164" s="150"/>
      <c r="BL164" s="176"/>
      <c r="BM164" s="168"/>
      <c r="BN164" s="149"/>
      <c r="BO164" s="149"/>
      <c r="BP164" s="157"/>
      <c r="BQ164" s="160"/>
      <c r="BR164" s="150"/>
      <c r="BS164" s="150"/>
      <c r="BT164" s="176"/>
      <c r="BU164" s="168"/>
      <c r="BV164" s="149"/>
      <c r="BW164" s="149"/>
      <c r="BX164" s="157"/>
      <c r="BY164" s="160"/>
      <c r="BZ164" s="150"/>
      <c r="CA164" s="150"/>
      <c r="CB164" s="176"/>
      <c r="CC164" s="168"/>
      <c r="CD164" s="149"/>
      <c r="CE164" s="149"/>
      <c r="CF164" s="157"/>
      <c r="CG164" s="160"/>
      <c r="CH164" s="150"/>
      <c r="CI164" s="150"/>
      <c r="CJ164" s="176"/>
      <c r="CK164" s="168"/>
      <c r="CL164" s="149"/>
      <c r="CM164" s="149"/>
      <c r="CN164" s="157"/>
      <c r="CO164" s="160"/>
      <c r="CP164" s="150"/>
      <c r="CQ164" s="150"/>
      <c r="CR164" s="176"/>
      <c r="CS164" s="168"/>
      <c r="CT164" s="149"/>
      <c r="CU164" s="149"/>
      <c r="CV164" s="157"/>
      <c r="CW164" s="160"/>
      <c r="CX164" s="150"/>
      <c r="CY164" s="150"/>
      <c r="CZ164" s="176"/>
      <c r="DA164" s="168"/>
      <c r="DB164" s="149"/>
      <c r="DC164" s="149"/>
      <c r="DD164" s="157"/>
    </row>
    <row r="165" spans="2:108" x14ac:dyDescent="0.2">
      <c r="B165" s="182"/>
      <c r="C165" s="189"/>
      <c r="D165" s="168"/>
      <c r="E165" s="149"/>
      <c r="F165" s="149"/>
      <c r="G165" s="149"/>
      <c r="H165" s="168"/>
      <c r="I165" s="600"/>
      <c r="J165" s="600"/>
      <c r="K165" s="600"/>
      <c r="L165" s="600"/>
      <c r="M165" s="600"/>
      <c r="N165" s="600"/>
      <c r="O165" s="600"/>
      <c r="P165" s="600"/>
      <c r="Q165" s="600"/>
      <c r="R165" s="600"/>
      <c r="S165" s="600"/>
      <c r="T165" s="600"/>
      <c r="U165" s="600"/>
      <c r="V165" s="600"/>
      <c r="W165" s="600"/>
      <c r="X165" s="600"/>
      <c r="Y165" s="600"/>
      <c r="Z165" s="600"/>
      <c r="AA165" s="600"/>
      <c r="AB165" s="601"/>
      <c r="AC165" s="160"/>
      <c r="AD165" s="150"/>
      <c r="AE165" s="150"/>
      <c r="AF165" s="165"/>
      <c r="AG165" s="168"/>
      <c r="AH165" s="149"/>
      <c r="AI165" s="149"/>
      <c r="AJ165" s="171"/>
      <c r="AK165" s="160"/>
      <c r="AL165" s="150"/>
      <c r="AM165" s="150"/>
      <c r="AN165" s="165"/>
      <c r="AO165" s="168"/>
      <c r="AP165" s="149"/>
      <c r="AQ165" s="149"/>
      <c r="AR165" s="157"/>
      <c r="AS165" s="160"/>
      <c r="AT165" s="150"/>
      <c r="AU165" s="150"/>
      <c r="AV165" s="165"/>
      <c r="AW165" s="168"/>
      <c r="AX165" s="149"/>
      <c r="AY165" s="149"/>
      <c r="AZ165" s="157"/>
      <c r="BA165" s="160"/>
      <c r="BB165" s="150"/>
      <c r="BC165" s="150"/>
      <c r="BD165" s="176"/>
      <c r="BE165" s="168"/>
      <c r="BF165" s="149"/>
      <c r="BG165" s="149"/>
      <c r="BH165" s="171"/>
      <c r="BI165" s="160"/>
      <c r="BJ165" s="150"/>
      <c r="BK165" s="150"/>
      <c r="BL165" s="176"/>
      <c r="BM165" s="168"/>
      <c r="BN165" s="149"/>
      <c r="BO165" s="149"/>
      <c r="BP165" s="157"/>
      <c r="BQ165" s="160"/>
      <c r="BR165" s="150"/>
      <c r="BS165" s="150"/>
      <c r="BT165" s="176"/>
      <c r="BU165" s="168"/>
      <c r="BV165" s="149"/>
      <c r="BW165" s="149"/>
      <c r="BX165" s="157"/>
      <c r="BY165" s="160"/>
      <c r="BZ165" s="150"/>
      <c r="CA165" s="150"/>
      <c r="CB165" s="176"/>
      <c r="CC165" s="168"/>
      <c r="CD165" s="149"/>
      <c r="CE165" s="149"/>
      <c r="CF165" s="157"/>
      <c r="CG165" s="160"/>
      <c r="CH165" s="150"/>
      <c r="CI165" s="150"/>
      <c r="CJ165" s="176"/>
      <c r="CK165" s="168"/>
      <c r="CL165" s="149"/>
      <c r="CM165" s="149"/>
      <c r="CN165" s="157"/>
      <c r="CO165" s="160"/>
      <c r="CP165" s="150"/>
      <c r="CQ165" s="150"/>
      <c r="CR165" s="176"/>
      <c r="CS165" s="168"/>
      <c r="CT165" s="149"/>
      <c r="CU165" s="149"/>
      <c r="CV165" s="157"/>
      <c r="CW165" s="160"/>
      <c r="CX165" s="150"/>
      <c r="CY165" s="150"/>
      <c r="CZ165" s="176"/>
      <c r="DA165" s="168"/>
      <c r="DB165" s="149"/>
      <c r="DC165" s="149"/>
      <c r="DD165" s="157"/>
    </row>
    <row r="166" spans="2:108" ht="24" x14ac:dyDescent="0.2">
      <c r="B166" s="182" t="str">
        <f>'Aqua - D2'!B5</f>
        <v>Aquaculture/Shellfish Propagation - Demonstration 2 - Quanset Pond Oyster Bed</v>
      </c>
      <c r="C166" s="189"/>
      <c r="D166" s="194">
        <f>'Aqua - D2'!F34</f>
        <v>49900</v>
      </c>
      <c r="E166" s="195">
        <f>'Aqua - D2'!F63</f>
        <v>216400</v>
      </c>
      <c r="F166" s="195">
        <f>'Aqua - D2'!F94</f>
        <v>0</v>
      </c>
      <c r="G166" s="195">
        <f>'Aqua - D2'!F123</f>
        <v>54700</v>
      </c>
      <c r="H166" s="168"/>
      <c r="I166" s="600"/>
      <c r="J166" s="600"/>
      <c r="K166" s="600"/>
      <c r="L166" s="600"/>
      <c r="M166" s="600"/>
      <c r="N166" s="600"/>
      <c r="O166" s="600"/>
      <c r="P166" s="600"/>
      <c r="Q166" s="600"/>
      <c r="R166" s="600"/>
      <c r="S166" s="600"/>
      <c r="T166" s="600"/>
      <c r="U166" s="600"/>
      <c r="V166" s="600"/>
      <c r="W166" s="600"/>
      <c r="X166" s="600"/>
      <c r="Y166" s="600"/>
      <c r="Z166" s="600"/>
      <c r="AA166" s="600"/>
      <c r="AB166" s="601"/>
      <c r="AC166" s="160"/>
      <c r="AD166" s="150"/>
      <c r="AE166" s="150"/>
      <c r="AF166" s="165"/>
      <c r="AG166" s="168"/>
      <c r="AH166" s="149"/>
      <c r="AI166" s="149"/>
      <c r="AJ166" s="171"/>
      <c r="AK166" s="160"/>
      <c r="AL166" s="150"/>
      <c r="AM166" s="150"/>
      <c r="AN166" s="165"/>
      <c r="AO166" s="168"/>
      <c r="AP166" s="149"/>
      <c r="AQ166" s="149"/>
      <c r="AR166" s="157"/>
      <c r="AS166" s="160"/>
      <c r="AT166" s="150"/>
      <c r="AU166" s="150"/>
      <c r="AV166" s="165"/>
      <c r="AW166" s="168"/>
      <c r="AX166" s="149"/>
      <c r="AY166" s="149"/>
      <c r="AZ166" s="157"/>
      <c r="BA166" s="160"/>
      <c r="BB166" s="150"/>
      <c r="BC166" s="150"/>
      <c r="BD166" s="176"/>
      <c r="BE166" s="168"/>
      <c r="BF166" s="149"/>
      <c r="BG166" s="149"/>
      <c r="BH166" s="171"/>
      <c r="BI166" s="160"/>
      <c r="BJ166" s="150"/>
      <c r="BK166" s="150"/>
      <c r="BL166" s="176"/>
      <c r="BM166" s="168"/>
      <c r="BN166" s="149"/>
      <c r="BO166" s="149"/>
      <c r="BP166" s="157"/>
      <c r="BQ166" s="160"/>
      <c r="BR166" s="150"/>
      <c r="BS166" s="150"/>
      <c r="BT166" s="176"/>
      <c r="BU166" s="168"/>
      <c r="BV166" s="149"/>
      <c r="BW166" s="149"/>
      <c r="BX166" s="157"/>
      <c r="BY166" s="160"/>
      <c r="BZ166" s="150"/>
      <c r="CA166" s="150"/>
      <c r="CB166" s="176"/>
      <c r="CC166" s="168"/>
      <c r="CD166" s="149"/>
      <c r="CE166" s="149"/>
      <c r="CF166" s="157"/>
      <c r="CG166" s="160"/>
      <c r="CH166" s="150"/>
      <c r="CI166" s="150"/>
      <c r="CJ166" s="176"/>
      <c r="CK166" s="168"/>
      <c r="CL166" s="149"/>
      <c r="CM166" s="149"/>
      <c r="CN166" s="157"/>
      <c r="CO166" s="160"/>
      <c r="CP166" s="150"/>
      <c r="CQ166" s="150"/>
      <c r="CR166" s="176"/>
      <c r="CS166" s="168"/>
      <c r="CT166" s="149"/>
      <c r="CU166" s="149"/>
      <c r="CV166" s="157"/>
      <c r="CW166" s="160"/>
      <c r="CX166" s="150"/>
      <c r="CY166" s="150"/>
      <c r="CZ166" s="176"/>
      <c r="DA166" s="168"/>
      <c r="DB166" s="149"/>
      <c r="DC166" s="149"/>
      <c r="DD166" s="157"/>
    </row>
    <row r="167" spans="2:108" x14ac:dyDescent="0.2">
      <c r="B167" s="183" t="s">
        <v>220</v>
      </c>
      <c r="C167" s="556">
        <v>1</v>
      </c>
      <c r="D167" s="168">
        <f>'Aqua - D2'!F31+'Aqua - D2'!F32</f>
        <v>15000</v>
      </c>
      <c r="E167" s="149"/>
      <c r="F167" s="149"/>
      <c r="G167" s="149"/>
      <c r="H167" s="168">
        <f>SUM(I167:AB167)</f>
        <v>14778.32512315271</v>
      </c>
      <c r="I167" s="610">
        <f>-PV(InterestRate,I$8,,(SUM(AC167:AF167)))</f>
        <v>14778.32512315271</v>
      </c>
      <c r="J167" s="610">
        <f>-PV(InterestRate,J$8,,(SUM(AG167:AJ167)))</f>
        <v>0</v>
      </c>
      <c r="K167" s="610">
        <f>-PV(InterestRate,K$8,,(SUM(AK167:AN167)))</f>
        <v>0</v>
      </c>
      <c r="L167" s="610">
        <f>-PV(InterestRate,L$8,,(SUM(AO167:AR167)))</f>
        <v>0</v>
      </c>
      <c r="M167" s="610">
        <f>-PV(InterestRate,M$8,,(SUM(AS167:AV167)))</f>
        <v>0</v>
      </c>
      <c r="N167" s="610">
        <f>-PV(InterestRate,N$8,,(SUM(AW167:AZ167)))</f>
        <v>0</v>
      </c>
      <c r="O167" s="610">
        <f>-PV(InterestRate,O$8,,(SUM(BA167:BD167)))</f>
        <v>0</v>
      </c>
      <c r="P167" s="610">
        <f>-PV(InterestRate,P$8,,(SUM(BE167:BH167)))</f>
        <v>0</v>
      </c>
      <c r="Q167" s="610">
        <f>-PV(InterestRate,Q$8,,(SUM(BI167:BL167)))</f>
        <v>0</v>
      </c>
      <c r="R167" s="610">
        <f>-PV(InterestRate,R$8,,(SUM(BM167:BP167)))</f>
        <v>0</v>
      </c>
      <c r="S167" s="610">
        <f>-PV(InterestRate,S$8,,(SUM(BQ167:BT167)))</f>
        <v>0</v>
      </c>
      <c r="T167" s="610">
        <f>-PV(InterestRate,T$8,,(SUM(BU167:BX167)))</f>
        <v>0</v>
      </c>
      <c r="U167" s="610">
        <f>-PV(InterestRate,U$8,,(SUM(BY167:CB167)))</f>
        <v>0</v>
      </c>
      <c r="V167" s="610">
        <f>-PV(InterestRate,V$8,,(SUM(CC167:CF167)))</f>
        <v>0</v>
      </c>
      <c r="W167" s="610">
        <f>-PV(InterestRate,W$8,,(SUM(CG167:CJ167)))</f>
        <v>0</v>
      </c>
      <c r="X167" s="610">
        <f>-PV(InterestRate,X$8,,(SUM(CK167:CN167)))</f>
        <v>0</v>
      </c>
      <c r="Y167" s="610">
        <f>-PV(InterestRate,Y$8,,(SUM(CO167:CR167)))</f>
        <v>0</v>
      </c>
      <c r="Z167" s="610">
        <f>-PV(InterestRate,Z$8,,(SUM(CS167:CV167)))</f>
        <v>0</v>
      </c>
      <c r="AA167" s="610">
        <f>-PV(InterestRate,AA$8,,(SUM(CW167:CZ167)))</f>
        <v>0</v>
      </c>
      <c r="AB167" s="611">
        <f>-PV(InterestRate,AB$8,,(SUM(DA167:DD167)))</f>
        <v>0</v>
      </c>
      <c r="AC167" s="160">
        <f>IF($C167&gt;0,(IF($C167=$AC$7,$D167,0)),0)</f>
        <v>15000</v>
      </c>
      <c r="AD167" s="150">
        <f>IF($C167&gt;0,(IF($AC$7&gt;=$C167+1,$E167,0)),0)</f>
        <v>0</v>
      </c>
      <c r="AE167" s="150">
        <f>IF($C167&gt;0,(IF($C167=$AC$7,$F167,0)),0)</f>
        <v>0</v>
      </c>
      <c r="AF167" s="165">
        <f>IF($C167&gt;0,(IF($AC$7&gt;=$C167+1,$G167,0)),0)</f>
        <v>0</v>
      </c>
      <c r="AG167" s="168">
        <f>IF($C167&gt;0,(IF($C167=$AG$7,(-FV(InflationRate,$AG$7,,$D167)),0)),0)</f>
        <v>0</v>
      </c>
      <c r="AH167" s="149">
        <f>IF($C167&gt;0,(IF($AG$7&gt;=$C167+1, (-FV(InflationRate,$AG$7,,$E167)), 0)),0)</f>
        <v>0</v>
      </c>
      <c r="AI167" s="149">
        <f>IF($C167&gt;0,(IF($AG$7&gt;=$C167+1, (-FV(InflationRate,$AG$7,,$F167)), 0)),0)</f>
        <v>0</v>
      </c>
      <c r="AJ167" s="171">
        <f>IF($C167&gt;0,(IF($AG$7&gt;=$C167+1, (-FV(InflationRate,$AG$7,,$G167)), 0)),0)</f>
        <v>0</v>
      </c>
      <c r="AK167" s="160">
        <f>IF($C167&gt;0,(IF($C167=$AK$7,(-FV(InflationRate,$AK$7,,$D167)),0)),0)</f>
        <v>0</v>
      </c>
      <c r="AL167" s="150">
        <f>IF($C167&gt;0,(IF($AK$7&gt;=$C167+1, (-FV(InflationRate,$AK$7,,$E167)), 0)),0)</f>
        <v>0</v>
      </c>
      <c r="AM167" s="150">
        <f>IF($C167&gt;0,(IF($AK$7&gt;=$C167+1, (-FV(InflationRate,$AK$7,,$F167)), 0)),0)</f>
        <v>0</v>
      </c>
      <c r="AN167" s="165">
        <f>IF($C167&gt;0,(IF($AK$7&gt;=$C167+1, (-FV(InflationRate,$AK$7,,$G167)), 0)),0)</f>
        <v>0</v>
      </c>
      <c r="AO167" s="168">
        <f>IF($C167&gt;0,(IF($C167=$AO$7,(-FV(InflationRate,$AO$7,,$D167)),0)),0)</f>
        <v>0</v>
      </c>
      <c r="AP167" s="149">
        <f>IF($C167&gt;0,(IF($AO$7&gt;=$C167+1, (-FV(InflationRate,$AO$7,,$E167)), 0)),0)</f>
        <v>0</v>
      </c>
      <c r="AQ167" s="149">
        <f>IF($C167&gt;0,(IF($AO$7&gt;=$C167+1, (-FV(InflationRate,$AO$7,,$F167)), 0)),0)</f>
        <v>0</v>
      </c>
      <c r="AR167" s="157">
        <f>IF($C167&gt;0,(IF($AO$7&gt;=$C167+1, (-FV(InflationRate,$AO$7,,$G167)), 0)),0)</f>
        <v>0</v>
      </c>
      <c r="AS167" s="160"/>
      <c r="AT167" s="150"/>
      <c r="AU167" s="150"/>
      <c r="AV167" s="165"/>
      <c r="AW167" s="168"/>
      <c r="AX167" s="149"/>
      <c r="AY167" s="149"/>
      <c r="AZ167" s="157"/>
      <c r="BA167" s="160"/>
      <c r="BB167" s="150"/>
      <c r="BC167" s="150"/>
      <c r="BD167" s="176"/>
      <c r="BE167" s="168"/>
      <c r="BF167" s="149"/>
      <c r="BG167" s="149"/>
      <c r="BH167" s="171"/>
      <c r="BI167" s="160"/>
      <c r="BJ167" s="150"/>
      <c r="BK167" s="150"/>
      <c r="BL167" s="176"/>
      <c r="BM167" s="168"/>
      <c r="BN167" s="149"/>
      <c r="BO167" s="149"/>
      <c r="BP167" s="157"/>
      <c r="BQ167" s="160"/>
      <c r="BR167" s="150"/>
      <c r="BS167" s="150"/>
      <c r="BT167" s="176"/>
      <c r="BU167" s="168"/>
      <c r="BV167" s="149"/>
      <c r="BW167" s="149"/>
      <c r="BX167" s="157"/>
      <c r="BY167" s="160"/>
      <c r="BZ167" s="150"/>
      <c r="CA167" s="150"/>
      <c r="CB167" s="176"/>
      <c r="CC167" s="168"/>
      <c r="CD167" s="149"/>
      <c r="CE167" s="149"/>
      <c r="CF167" s="157"/>
      <c r="CG167" s="160"/>
      <c r="CH167" s="150"/>
      <c r="CI167" s="150"/>
      <c r="CJ167" s="176"/>
      <c r="CK167" s="168"/>
      <c r="CL167" s="149"/>
      <c r="CM167" s="149"/>
      <c r="CN167" s="157"/>
      <c r="CO167" s="160"/>
      <c r="CP167" s="150"/>
      <c r="CQ167" s="150"/>
      <c r="CR167" s="176"/>
      <c r="CS167" s="168"/>
      <c r="CT167" s="149"/>
      <c r="CU167" s="149"/>
      <c r="CV167" s="157"/>
      <c r="CW167" s="160"/>
      <c r="CX167" s="150"/>
      <c r="CY167" s="150"/>
      <c r="CZ167" s="176"/>
      <c r="DA167" s="168"/>
      <c r="DB167" s="149"/>
      <c r="DC167" s="149"/>
      <c r="DD167" s="157"/>
    </row>
    <row r="168" spans="2:108" x14ac:dyDescent="0.2">
      <c r="B168" s="183" t="s">
        <v>270</v>
      </c>
      <c r="C168" s="556">
        <v>1</v>
      </c>
      <c r="D168" s="168">
        <f>D166-D167</f>
        <v>34900</v>
      </c>
      <c r="E168" s="149">
        <f>E166</f>
        <v>216400</v>
      </c>
      <c r="F168" s="149"/>
      <c r="G168" s="149">
        <f>G166</f>
        <v>54700</v>
      </c>
      <c r="H168" s="168">
        <f>SUM(I168:AB168)</f>
        <v>884338.33922319906</v>
      </c>
      <c r="I168" s="610">
        <f>-PV(InterestRate,I$8,,(SUM(AC168:AF168)))</f>
        <v>34384.236453201971</v>
      </c>
      <c r="J168" s="610">
        <f>-PV(InterestRate,J$8,,(SUM(AG168:AJ168)))</f>
        <v>279172.0158217866</v>
      </c>
      <c r="K168" s="610">
        <f>-PV(InterestRate,K$8,,(SUM(AK168:AN168)))</f>
        <v>283297.71063688694</v>
      </c>
      <c r="L168" s="610">
        <f>-PV(InterestRate,L$8,,(SUM(AO168:AR168)))</f>
        <v>287484.37631132366</v>
      </c>
      <c r="M168" s="610">
        <f>-PV(InterestRate,M$8,,(SUM(AS168:AV168)))</f>
        <v>0</v>
      </c>
      <c r="N168" s="610">
        <f>-PV(InterestRate,N$8,,(SUM(AW168:AZ168)))</f>
        <v>0</v>
      </c>
      <c r="O168" s="610">
        <f>-PV(InterestRate,O$8,,(SUM(BA168:BD168)))</f>
        <v>0</v>
      </c>
      <c r="P168" s="610">
        <f>-PV(InterestRate,P$8,,(SUM(BE168:BH168)))</f>
        <v>0</v>
      </c>
      <c r="Q168" s="610">
        <f>-PV(InterestRate,Q$8,,(SUM(BI168:BL168)))</f>
        <v>0</v>
      </c>
      <c r="R168" s="610">
        <f>-PV(InterestRate,R$8,,(SUM(BM168:BP168)))</f>
        <v>0</v>
      </c>
      <c r="S168" s="610">
        <f>-PV(InterestRate,S$8,,(SUM(BQ168:BT168)))</f>
        <v>0</v>
      </c>
      <c r="T168" s="610">
        <f>-PV(InterestRate,T$8,,(SUM(BU168:BX168)))</f>
        <v>0</v>
      </c>
      <c r="U168" s="610">
        <f>-PV(InterestRate,U$8,,(SUM(BY168:CB168)))</f>
        <v>0</v>
      </c>
      <c r="V168" s="610">
        <f>-PV(InterestRate,V$8,,(SUM(CC168:CF168)))</f>
        <v>0</v>
      </c>
      <c r="W168" s="610">
        <f>-PV(InterestRate,W$8,,(SUM(CG168:CJ168)))</f>
        <v>0</v>
      </c>
      <c r="X168" s="610">
        <f>-PV(InterestRate,X$8,,(SUM(CK168:CN168)))</f>
        <v>0</v>
      </c>
      <c r="Y168" s="610">
        <f>-PV(InterestRate,Y$8,,(SUM(CO168:CR168)))</f>
        <v>0</v>
      </c>
      <c r="Z168" s="610">
        <f>-PV(InterestRate,Z$8,,(SUM(CS168:CV168)))</f>
        <v>0</v>
      </c>
      <c r="AA168" s="610">
        <f>-PV(InterestRate,AA$8,,(SUM(CW168:CZ168)))</f>
        <v>0</v>
      </c>
      <c r="AB168" s="611">
        <f>-PV(InterestRate,AB$8,,(SUM(DA168:DD168)))</f>
        <v>0</v>
      </c>
      <c r="AC168" s="160">
        <f>IF($C168&gt;0,(IF($C168=$AC$7,$D168,0)),0)</f>
        <v>34900</v>
      </c>
      <c r="AD168" s="150">
        <f>IF($C168&gt;0,(IF($AC$7&gt;=$C168+1,$E168,0)),0)</f>
        <v>0</v>
      </c>
      <c r="AE168" s="150">
        <f>IF($C168&gt;0,(IF($C168=$AC$7,$F168,0)),0)</f>
        <v>0</v>
      </c>
      <c r="AF168" s="165">
        <f>IF($C168&gt;0,(IF($AC$7&gt;=$C168+1,$G168,0)),0)</f>
        <v>0</v>
      </c>
      <c r="AG168" s="168">
        <f>IF($C168&gt;0,(IF($C168=$AG$7,(-FV(InflationRate,$AG$7,,$D168)),0)),0)</f>
        <v>0</v>
      </c>
      <c r="AH168" s="149">
        <f>IF($C168&gt;0,(IF($AG$7&gt;=$C168+1, (-FV(InflationRate,$AG$7,,$E168)), 0)),0)</f>
        <v>229578.75999999998</v>
      </c>
      <c r="AI168" s="149">
        <f>IF($C168&gt;0,(IF($AG$7&gt;=$C168+1, (-FV(InflationRate,$AG$7,,$F168)), 0)),0)</f>
        <v>0</v>
      </c>
      <c r="AJ168" s="171">
        <f>IF($C168&gt;0,(IF($AG$7&gt;=$C168+1, (-FV(InflationRate,$AG$7,,$G168)), 0)),0)</f>
        <v>58031.229999999996</v>
      </c>
      <c r="AK168" s="160">
        <f>IF($C168&gt;0,(IF($C168=$AK$7,(-FV(InflationRate,$AK$7,,$D168)),0)),0)</f>
        <v>0</v>
      </c>
      <c r="AL168" s="150">
        <f>IF($C168&gt;0,(IF($AK$7&gt;=$C168+1, (-FV(InflationRate,$AK$7,,$E168)), 0)),0)</f>
        <v>236466.12280000001</v>
      </c>
      <c r="AM168" s="150">
        <f>IF($C168&gt;0,(IF($AK$7&gt;=$C168+1, (-FV(InflationRate,$AK$7,,$F168)), 0)),0)</f>
        <v>0</v>
      </c>
      <c r="AN168" s="165">
        <f>IF($C168&gt;0,(IF($AK$7&gt;=$C168+1, (-FV(InflationRate,$AK$7,,$G168)), 0)),0)</f>
        <v>59772.166900000004</v>
      </c>
      <c r="AO168" s="168">
        <f>IF($C168&gt;0,(IF($C168=$AO$7,(-FV(InflationRate,$AO$7,,$D168)),0)),0)</f>
        <v>0</v>
      </c>
      <c r="AP168" s="149">
        <f>IF($C168&gt;0,(IF($AO$7&gt;=$C168+1, (-FV(InflationRate,$AO$7,,$E168)), 0)),0)</f>
        <v>243560.10648399999</v>
      </c>
      <c r="AQ168" s="149">
        <f>IF($C168&gt;0,(IF($AO$7&gt;=$C168+1, (-FV(InflationRate,$AO$7,,$F168)), 0)),0)</f>
        <v>0</v>
      </c>
      <c r="AR168" s="157">
        <f>IF($C168&gt;0,(IF($AO$7&gt;=$C168+1, (-FV(InflationRate,$AO$7,,$G168)), 0)),0)</f>
        <v>61565.331906999992</v>
      </c>
      <c r="AS168" s="160"/>
      <c r="AT168" s="150"/>
      <c r="AU168" s="150"/>
      <c r="AV168" s="165"/>
      <c r="AW168" s="168"/>
      <c r="AX168" s="149"/>
      <c r="AY168" s="149"/>
      <c r="AZ168" s="157"/>
      <c r="BA168" s="160"/>
      <c r="BB168" s="150"/>
      <c r="BC168" s="150"/>
      <c r="BD168" s="176"/>
      <c r="BE168" s="168"/>
      <c r="BF168" s="149"/>
      <c r="BG168" s="149"/>
      <c r="BH168" s="171"/>
      <c r="BI168" s="160"/>
      <c r="BJ168" s="150"/>
      <c r="BK168" s="150"/>
      <c r="BL168" s="176"/>
      <c r="BM168" s="168"/>
      <c r="BN168" s="149"/>
      <c r="BO168" s="149"/>
      <c r="BP168" s="157"/>
      <c r="BQ168" s="160"/>
      <c r="BR168" s="150"/>
      <c r="BS168" s="150"/>
      <c r="BT168" s="176"/>
      <c r="BU168" s="168"/>
      <c r="BV168" s="149"/>
      <c r="BW168" s="149"/>
      <c r="BX168" s="157"/>
      <c r="BY168" s="160"/>
      <c r="BZ168" s="150"/>
      <c r="CA168" s="150"/>
      <c r="CB168" s="176"/>
      <c r="CC168" s="168"/>
      <c r="CD168" s="149"/>
      <c r="CE168" s="149"/>
      <c r="CF168" s="157"/>
      <c r="CG168" s="160"/>
      <c r="CH168" s="150"/>
      <c r="CI168" s="150"/>
      <c r="CJ168" s="176"/>
      <c r="CK168" s="168"/>
      <c r="CL168" s="149"/>
      <c r="CM168" s="149"/>
      <c r="CN168" s="157"/>
      <c r="CO168" s="160"/>
      <c r="CP168" s="150"/>
      <c r="CQ168" s="150"/>
      <c r="CR168" s="176"/>
      <c r="CS168" s="168"/>
      <c r="CT168" s="149"/>
      <c r="CU168" s="149"/>
      <c r="CV168" s="157"/>
      <c r="CW168" s="160"/>
      <c r="CX168" s="150"/>
      <c r="CY168" s="150"/>
      <c r="CZ168" s="176"/>
      <c r="DA168" s="168"/>
      <c r="DB168" s="149"/>
      <c r="DC168" s="149"/>
      <c r="DD168" s="157"/>
    </row>
    <row r="169" spans="2:108" x14ac:dyDescent="0.2">
      <c r="B169" s="183" t="s">
        <v>203</v>
      </c>
      <c r="C169" s="556">
        <v>1</v>
      </c>
      <c r="D169" s="168"/>
      <c r="E169" s="149"/>
      <c r="F169" s="149">
        <f>F166</f>
        <v>0</v>
      </c>
      <c r="G169" s="149"/>
      <c r="H169" s="168">
        <f>SUM(I169:AB169)</f>
        <v>0</v>
      </c>
      <c r="I169" s="610">
        <f>-PV(InterestRate,I$8,,(SUM(AC169:AF169)))</f>
        <v>0</v>
      </c>
      <c r="J169" s="610">
        <f>-PV(InterestRate,J$8,,(SUM(AG169:AJ169)))</f>
        <v>0</v>
      </c>
      <c r="K169" s="610">
        <f>-PV(InterestRate,K$8,,(SUM(AK169:AN169)))</f>
        <v>0</v>
      </c>
      <c r="L169" s="610">
        <f>-PV(InterestRate,L$8,,(SUM(AO169:AR169)))</f>
        <v>0</v>
      </c>
      <c r="M169" s="610">
        <f>-PV(InterestRate,M$8,,(SUM(AS169:AV169)))</f>
        <v>0</v>
      </c>
      <c r="N169" s="610">
        <f>-PV(InterestRate,N$8,,(SUM(AW169:AZ169)))</f>
        <v>0</v>
      </c>
      <c r="O169" s="610">
        <f>-PV(InterestRate,O$8,,(SUM(BA169:BD169)))</f>
        <v>0</v>
      </c>
      <c r="P169" s="610">
        <f>-PV(InterestRate,P$8,,(SUM(BE169:BH169)))</f>
        <v>0</v>
      </c>
      <c r="Q169" s="610">
        <f>-PV(InterestRate,Q$8,,(SUM(BI169:BL169)))</f>
        <v>0</v>
      </c>
      <c r="R169" s="610">
        <f>-PV(InterestRate,R$8,,(SUM(BM169:BP169)))</f>
        <v>0</v>
      </c>
      <c r="S169" s="610">
        <f>-PV(InterestRate,S$8,,(SUM(BQ169:BT169)))</f>
        <v>0</v>
      </c>
      <c r="T169" s="610">
        <f>-PV(InterestRate,T$8,,(SUM(BU169:BX169)))</f>
        <v>0</v>
      </c>
      <c r="U169" s="610">
        <f>-PV(InterestRate,U$8,,(SUM(BY169:CB169)))</f>
        <v>0</v>
      </c>
      <c r="V169" s="610">
        <f>-PV(InterestRate,V$8,,(SUM(CC169:CF169)))</f>
        <v>0</v>
      </c>
      <c r="W169" s="610">
        <f>-PV(InterestRate,W$8,,(SUM(CG169:CJ169)))</f>
        <v>0</v>
      </c>
      <c r="X169" s="610">
        <f>-PV(InterestRate,X$8,,(SUM(CK169:CN169)))</f>
        <v>0</v>
      </c>
      <c r="Y169" s="610">
        <f>-PV(InterestRate,Y$8,,(SUM(CO169:CR169)))</f>
        <v>0</v>
      </c>
      <c r="Z169" s="610">
        <f>-PV(InterestRate,Z$8,,(SUM(CS169:CV169)))</f>
        <v>0</v>
      </c>
      <c r="AA169" s="610">
        <f>-PV(InterestRate,AA$8,,(SUM(CW169:CZ169)))</f>
        <v>0</v>
      </c>
      <c r="AB169" s="611">
        <f>-PV(InterestRate,AB$8,,(SUM(DA169:DD169)))</f>
        <v>0</v>
      </c>
      <c r="AC169" s="160">
        <f>IF($C169&gt;0,(IF($C169=$AC$7,$D169,0)),0)</f>
        <v>0</v>
      </c>
      <c r="AD169" s="150">
        <f>IF($C169&gt;0,(IF($AC$7&gt;=$C169+1,$E169,0)),0)</f>
        <v>0</v>
      </c>
      <c r="AE169" s="150">
        <f>IF($C169&gt;0,(IF($C169=$AC$7,$F169,0)),0)</f>
        <v>0</v>
      </c>
      <c r="AF169" s="165">
        <f>IF($C169&gt;0,(IF($AC$7&gt;=$C169+1,$G169,0)),0)</f>
        <v>0</v>
      </c>
      <c r="AG169" s="168">
        <f>IF($C169&gt;0,(IF($C169=$AG$7,(-FV(InflationRate,$AG$7,,$D169)),0)),0)</f>
        <v>0</v>
      </c>
      <c r="AH169" s="149">
        <f>IF($C169&gt;0,(IF($AG$7&gt;=$C169+1, (-FV(InflationRate,$AG$7,,$E169)), 0)),0)</f>
        <v>0</v>
      </c>
      <c r="AI169" s="149">
        <f>IF($C169&gt;0,(IF($AG$7&gt;=$C169+1, (-FV(InflationRate,$AG$7,,$F169)), 0)),0)</f>
        <v>0</v>
      </c>
      <c r="AJ169" s="171">
        <f>IF($C169&gt;0,(IF($AG$7&gt;=$C169+1, (-FV(InflationRate,$AG$7,,$G169)), 0)),0)</f>
        <v>0</v>
      </c>
      <c r="AK169" s="160">
        <f>IF($C169&gt;0,(IF($C169=$AK$7,(-FV(InflationRate,$AK$7,,$D169)),0)),0)</f>
        <v>0</v>
      </c>
      <c r="AL169" s="150">
        <f>IF($C169&gt;0,(IF($AK$7&gt;=$C169+1, (-FV(InflationRate,$AK$7,,$E169)), 0)),0)</f>
        <v>0</v>
      </c>
      <c r="AM169" s="150">
        <f>IF($C169&gt;0,(IF($AK$7&gt;=$C169+1, (-FV(InflationRate,$AK$7,,$F169)), 0)),0)</f>
        <v>0</v>
      </c>
      <c r="AN169" s="165">
        <f>IF($C169&gt;0,(IF($AK$7&gt;=$C169+1, (-FV(InflationRate,$AK$7,,$G169)), 0)),0)</f>
        <v>0</v>
      </c>
      <c r="AO169" s="168">
        <f>IF($C169&gt;0,(IF($C169=$AO$7,(-FV(InflationRate,$AO$7,,$D169)),0)),0)</f>
        <v>0</v>
      </c>
      <c r="AP169" s="149">
        <f>IF($C169&gt;0,(IF($AO$7&gt;=$C169+1, (-FV(InflationRate,$AO$7,,$E169)), 0)),0)</f>
        <v>0</v>
      </c>
      <c r="AQ169" s="149">
        <f>IF($C169&gt;0,(IF($AO$7&gt;=$C169+1, (-FV(InflationRate,$AO$7,,$F169)), 0)),0)</f>
        <v>0</v>
      </c>
      <c r="AR169" s="157">
        <f>IF($C169&gt;0,(IF($AO$7&gt;=$C169+1, (-FV(InflationRate,$AO$7,,$G169)), 0)),0)</f>
        <v>0</v>
      </c>
      <c r="AS169" s="160"/>
      <c r="AT169" s="150"/>
      <c r="AU169" s="150"/>
      <c r="AV169" s="165"/>
      <c r="AW169" s="168"/>
      <c r="AX169" s="149"/>
      <c r="AY169" s="149"/>
      <c r="AZ169" s="157"/>
      <c r="BA169" s="160"/>
      <c r="BB169" s="150"/>
      <c r="BC169" s="150"/>
      <c r="BD169" s="176"/>
      <c r="BE169" s="168"/>
      <c r="BF169" s="149"/>
      <c r="BG169" s="149"/>
      <c r="BH169" s="171"/>
      <c r="BI169" s="160"/>
      <c r="BJ169" s="150"/>
      <c r="BK169" s="150"/>
      <c r="BL169" s="176"/>
      <c r="BM169" s="168"/>
      <c r="BN169" s="149"/>
      <c r="BO169" s="149"/>
      <c r="BP169" s="157"/>
      <c r="BQ169" s="160"/>
      <c r="BR169" s="150"/>
      <c r="BS169" s="150"/>
      <c r="BT169" s="176"/>
      <c r="BU169" s="168"/>
      <c r="BV169" s="149"/>
      <c r="BW169" s="149"/>
      <c r="BX169" s="157"/>
      <c r="BY169" s="160"/>
      <c r="BZ169" s="150"/>
      <c r="CA169" s="150"/>
      <c r="CB169" s="176"/>
      <c r="CC169" s="168"/>
      <c r="CD169" s="149"/>
      <c r="CE169" s="149"/>
      <c r="CF169" s="157"/>
      <c r="CG169" s="160"/>
      <c r="CH169" s="150"/>
      <c r="CI169" s="150"/>
      <c r="CJ169" s="176"/>
      <c r="CK169" s="168"/>
      <c r="CL169" s="149"/>
      <c r="CM169" s="149"/>
      <c r="CN169" s="157"/>
      <c r="CO169" s="160"/>
      <c r="CP169" s="150"/>
      <c r="CQ169" s="150"/>
      <c r="CR169" s="176"/>
      <c r="CS169" s="168"/>
      <c r="CT169" s="149"/>
      <c r="CU169" s="149"/>
      <c r="CV169" s="157"/>
      <c r="CW169" s="160"/>
      <c r="CX169" s="150"/>
      <c r="CY169" s="150"/>
      <c r="CZ169" s="176"/>
      <c r="DA169" s="168"/>
      <c r="DB169" s="149"/>
      <c r="DC169" s="149"/>
      <c r="DD169" s="157"/>
    </row>
    <row r="170" spans="2:108" x14ac:dyDescent="0.2">
      <c r="B170" s="182"/>
      <c r="C170" s="189"/>
      <c r="D170" s="168"/>
      <c r="E170" s="149"/>
      <c r="F170" s="149"/>
      <c r="G170" s="149"/>
      <c r="H170" s="168"/>
      <c r="I170" s="600"/>
      <c r="J170" s="600"/>
      <c r="K170" s="600"/>
      <c r="L170" s="600"/>
      <c r="M170" s="600"/>
      <c r="N170" s="600"/>
      <c r="O170" s="600"/>
      <c r="P170" s="600"/>
      <c r="Q170" s="600"/>
      <c r="R170" s="600"/>
      <c r="S170" s="600"/>
      <c r="T170" s="600"/>
      <c r="U170" s="600"/>
      <c r="V170" s="600"/>
      <c r="W170" s="600"/>
      <c r="X170" s="600"/>
      <c r="Y170" s="600"/>
      <c r="Z170" s="600"/>
      <c r="AA170" s="600"/>
      <c r="AB170" s="601"/>
      <c r="AC170" s="160"/>
      <c r="AD170" s="150"/>
      <c r="AE170" s="150"/>
      <c r="AF170" s="165"/>
      <c r="AG170" s="168"/>
      <c r="AH170" s="149"/>
      <c r="AI170" s="149"/>
      <c r="AJ170" s="171"/>
      <c r="AK170" s="160"/>
      <c r="AL170" s="150"/>
      <c r="AM170" s="150"/>
      <c r="AN170" s="165"/>
      <c r="AO170" s="168"/>
      <c r="AP170" s="149"/>
      <c r="AQ170" s="149"/>
      <c r="AR170" s="157"/>
      <c r="AS170" s="160"/>
      <c r="AT170" s="150"/>
      <c r="AU170" s="150"/>
      <c r="AV170" s="165"/>
      <c r="AW170" s="168"/>
      <c r="AX170" s="149"/>
      <c r="AY170" s="149"/>
      <c r="AZ170" s="157"/>
      <c r="BA170" s="160"/>
      <c r="BB170" s="150"/>
      <c r="BC170" s="150"/>
      <c r="BD170" s="176"/>
      <c r="BE170" s="168"/>
      <c r="BF170" s="149"/>
      <c r="BG170" s="149"/>
      <c r="BH170" s="171"/>
      <c r="BI170" s="160"/>
      <c r="BJ170" s="150"/>
      <c r="BK170" s="150"/>
      <c r="BL170" s="176"/>
      <c r="BM170" s="168"/>
      <c r="BN170" s="149"/>
      <c r="BO170" s="149"/>
      <c r="BP170" s="157"/>
      <c r="BQ170" s="160"/>
      <c r="BR170" s="150"/>
      <c r="BS170" s="150"/>
      <c r="BT170" s="176"/>
      <c r="BU170" s="168"/>
      <c r="BV170" s="149"/>
      <c r="BW170" s="149"/>
      <c r="BX170" s="157"/>
      <c r="BY170" s="160"/>
      <c r="BZ170" s="150"/>
      <c r="CA170" s="150"/>
      <c r="CB170" s="176"/>
      <c r="CC170" s="168"/>
      <c r="CD170" s="149"/>
      <c r="CE170" s="149"/>
      <c r="CF170" s="157"/>
      <c r="CG170" s="160"/>
      <c r="CH170" s="150"/>
      <c r="CI170" s="150"/>
      <c r="CJ170" s="176"/>
      <c r="CK170" s="168"/>
      <c r="CL170" s="149"/>
      <c r="CM170" s="149"/>
      <c r="CN170" s="157"/>
      <c r="CO170" s="160"/>
      <c r="CP170" s="150"/>
      <c r="CQ170" s="150"/>
      <c r="CR170" s="176"/>
      <c r="CS170" s="168"/>
      <c r="CT170" s="149"/>
      <c r="CU170" s="149"/>
      <c r="CV170" s="157"/>
      <c r="CW170" s="160"/>
      <c r="CX170" s="150"/>
      <c r="CY170" s="150"/>
      <c r="CZ170" s="176"/>
      <c r="DA170" s="168"/>
      <c r="DB170" s="149"/>
      <c r="DC170" s="149"/>
      <c r="DD170" s="157"/>
    </row>
    <row r="171" spans="2:108" ht="24" x14ac:dyDescent="0.2">
      <c r="B171" s="182" t="str">
        <f>'Aqua - D3'!B5</f>
        <v>Aquaculture/Shellfish Propagation - Demonstration 3 - Shellfish Extension Program</v>
      </c>
      <c r="C171" s="189"/>
      <c r="D171" s="194">
        <f>'Aqua - D3'!F34</f>
        <v>76900</v>
      </c>
      <c r="E171" s="195">
        <f>'Aqua - D3'!F63</f>
        <v>0</v>
      </c>
      <c r="F171" s="195">
        <f>'Aqua - D3'!F94</f>
        <v>533000</v>
      </c>
      <c r="G171" s="195">
        <f>'Aqua - D3'!F123</f>
        <v>58900</v>
      </c>
      <c r="H171" s="168"/>
      <c r="I171" s="600"/>
      <c r="J171" s="600"/>
      <c r="K171" s="600"/>
      <c r="L171" s="600"/>
      <c r="M171" s="600"/>
      <c r="N171" s="600"/>
      <c r="O171" s="600"/>
      <c r="P171" s="600"/>
      <c r="Q171" s="600"/>
      <c r="R171" s="600"/>
      <c r="S171" s="600"/>
      <c r="T171" s="600"/>
      <c r="U171" s="600"/>
      <c r="V171" s="600"/>
      <c r="W171" s="600"/>
      <c r="X171" s="600"/>
      <c r="Y171" s="600"/>
      <c r="Z171" s="600"/>
      <c r="AA171" s="600"/>
      <c r="AB171" s="601"/>
      <c r="AC171" s="160"/>
      <c r="AD171" s="150"/>
      <c r="AE171" s="150"/>
      <c r="AF171" s="165"/>
      <c r="AG171" s="168"/>
      <c r="AH171" s="149"/>
      <c r="AI171" s="149"/>
      <c r="AJ171" s="171"/>
      <c r="AK171" s="160"/>
      <c r="AL171" s="150"/>
      <c r="AM171" s="150"/>
      <c r="AN171" s="165"/>
      <c r="AO171" s="168"/>
      <c r="AP171" s="149"/>
      <c r="AQ171" s="149"/>
      <c r="AR171" s="157"/>
      <c r="AS171" s="160"/>
      <c r="AT171" s="150"/>
      <c r="AU171" s="150"/>
      <c r="AV171" s="165"/>
      <c r="AW171" s="168"/>
      <c r="AX171" s="149"/>
      <c r="AY171" s="149"/>
      <c r="AZ171" s="157"/>
      <c r="BA171" s="160"/>
      <c r="BB171" s="150"/>
      <c r="BC171" s="150"/>
      <c r="BD171" s="176"/>
      <c r="BE171" s="168"/>
      <c r="BF171" s="149"/>
      <c r="BG171" s="149"/>
      <c r="BH171" s="171"/>
      <c r="BI171" s="160"/>
      <c r="BJ171" s="150"/>
      <c r="BK171" s="150"/>
      <c r="BL171" s="176"/>
      <c r="BM171" s="168"/>
      <c r="BN171" s="149"/>
      <c r="BO171" s="149"/>
      <c r="BP171" s="157"/>
      <c r="BQ171" s="160"/>
      <c r="BR171" s="150"/>
      <c r="BS171" s="150"/>
      <c r="BT171" s="176"/>
      <c r="BU171" s="168"/>
      <c r="BV171" s="149"/>
      <c r="BW171" s="149"/>
      <c r="BX171" s="157"/>
      <c r="BY171" s="160"/>
      <c r="BZ171" s="150"/>
      <c r="CA171" s="150"/>
      <c r="CB171" s="176"/>
      <c r="CC171" s="168"/>
      <c r="CD171" s="149"/>
      <c r="CE171" s="149"/>
      <c r="CF171" s="157"/>
      <c r="CG171" s="160"/>
      <c r="CH171" s="150"/>
      <c r="CI171" s="150"/>
      <c r="CJ171" s="176"/>
      <c r="CK171" s="168"/>
      <c r="CL171" s="149"/>
      <c r="CM171" s="149"/>
      <c r="CN171" s="157"/>
      <c r="CO171" s="160"/>
      <c r="CP171" s="150"/>
      <c r="CQ171" s="150"/>
      <c r="CR171" s="176"/>
      <c r="CS171" s="168"/>
      <c r="CT171" s="149"/>
      <c r="CU171" s="149"/>
      <c r="CV171" s="157"/>
      <c r="CW171" s="160"/>
      <c r="CX171" s="150"/>
      <c r="CY171" s="150"/>
      <c r="CZ171" s="176"/>
      <c r="DA171" s="168"/>
      <c r="DB171" s="149"/>
      <c r="DC171" s="149"/>
      <c r="DD171" s="157"/>
    </row>
    <row r="172" spans="2:108" x14ac:dyDescent="0.2">
      <c r="B172" s="183" t="s">
        <v>220</v>
      </c>
      <c r="C172" s="556">
        <v>1</v>
      </c>
      <c r="D172" s="168">
        <f>'Aqua - D3'!F120+'Aqua - D3'!F31+'Aqua - D3'!F32</f>
        <v>21600</v>
      </c>
      <c r="E172" s="149"/>
      <c r="F172" s="149"/>
      <c r="G172" s="149"/>
      <c r="H172" s="168">
        <f>SUM(I172:AB172)</f>
        <v>21280.788177339902</v>
      </c>
      <c r="I172" s="610">
        <f>-PV(InterestRate,I$8,,(SUM(AC172:AF172)))</f>
        <v>21280.788177339902</v>
      </c>
      <c r="J172" s="610">
        <f>-PV(InterestRate,J$8,,(SUM(AG172:AJ172)))</f>
        <v>0</v>
      </c>
      <c r="K172" s="610">
        <f>-PV(InterestRate,K$8,,(SUM(AK172:AN172)))</f>
        <v>0</v>
      </c>
      <c r="L172" s="610">
        <f>-PV(InterestRate,L$8,,(SUM(AO172:AR172)))</f>
        <v>0</v>
      </c>
      <c r="M172" s="610">
        <f>-PV(InterestRate,M$8,,(SUM(AS172:AV172)))</f>
        <v>0</v>
      </c>
      <c r="N172" s="610">
        <f>-PV(InterestRate,N$8,,(SUM(AW172:AZ172)))</f>
        <v>0</v>
      </c>
      <c r="O172" s="610">
        <f>-PV(InterestRate,O$8,,(SUM(BA172:BD172)))</f>
        <v>0</v>
      </c>
      <c r="P172" s="610">
        <f>-PV(InterestRate,P$8,,(SUM(BE172:BH172)))</f>
        <v>0</v>
      </c>
      <c r="Q172" s="610">
        <f>-PV(InterestRate,Q$8,,(SUM(BI172:BL172)))</f>
        <v>0</v>
      </c>
      <c r="R172" s="610">
        <f>-PV(InterestRate,R$8,,(SUM(BM172:BP172)))</f>
        <v>0</v>
      </c>
      <c r="S172" s="610">
        <f>-PV(InterestRate,S$8,,(SUM(BQ172:BT172)))</f>
        <v>0</v>
      </c>
      <c r="T172" s="610">
        <f>-PV(InterestRate,T$8,,(SUM(BU172:BX172)))</f>
        <v>0</v>
      </c>
      <c r="U172" s="610">
        <f>-PV(InterestRate,U$8,,(SUM(BY172:CB172)))</f>
        <v>0</v>
      </c>
      <c r="V172" s="610">
        <f>-PV(InterestRate,V$8,,(SUM(CC172:CF172)))</f>
        <v>0</v>
      </c>
      <c r="W172" s="610">
        <f>-PV(InterestRate,W$8,,(SUM(CG172:CJ172)))</f>
        <v>0</v>
      </c>
      <c r="X172" s="610">
        <f>-PV(InterestRate,X$8,,(SUM(CK172:CN172)))</f>
        <v>0</v>
      </c>
      <c r="Y172" s="610">
        <f>-PV(InterestRate,Y$8,,(SUM(CO172:CR172)))</f>
        <v>0</v>
      </c>
      <c r="Z172" s="610">
        <f>-PV(InterestRate,Z$8,,(SUM(CS172:CV172)))</f>
        <v>0</v>
      </c>
      <c r="AA172" s="610">
        <f>-PV(InterestRate,AA$8,,(SUM(CW172:CZ172)))</f>
        <v>0</v>
      </c>
      <c r="AB172" s="611">
        <f>-PV(InterestRate,AB$8,,(SUM(DA172:DD172)))</f>
        <v>0</v>
      </c>
      <c r="AC172" s="160">
        <f>IF($C172&gt;0,(IF($C172=$AC$7,$D172,0)),0)</f>
        <v>21600</v>
      </c>
      <c r="AD172" s="150">
        <f>IF($C172&gt;0,(IF($AC$7&gt;=$C172+1,$E172,0)),0)</f>
        <v>0</v>
      </c>
      <c r="AE172" s="150">
        <f>IF($C172&gt;0,(IF($C172=$AC$7,$F172,0)),0)</f>
        <v>0</v>
      </c>
      <c r="AF172" s="165">
        <f>IF($C172&gt;0,(IF($AC$7&gt;=$C172+1,$G172,0)),0)</f>
        <v>0</v>
      </c>
      <c r="AG172" s="168"/>
      <c r="AH172" s="149"/>
      <c r="AI172" s="149"/>
      <c r="AJ172" s="171"/>
      <c r="AK172" s="160"/>
      <c r="AL172" s="150"/>
      <c r="AM172" s="150"/>
      <c r="AN172" s="165"/>
      <c r="AO172" s="168">
        <f>IF($C172&gt;0,(IF($C172=$AO$7,(-FV(InflationRate,$AO$7,,$D172)),0)),0)</f>
        <v>0</v>
      </c>
      <c r="AP172" s="149">
        <f>IF($C172&gt;0,(IF($AO$7&gt;=$C172+1, (-FV(InflationRate,$AO$7,,$E172)), 0)),0)</f>
        <v>0</v>
      </c>
      <c r="AQ172" s="149">
        <f>IF($C172&gt;0,(IF($AO$7&gt;=$C172+1, (-FV(InflationRate,$AO$7,,$F172)), 0)),0)</f>
        <v>0</v>
      </c>
      <c r="AR172" s="157">
        <f>IF($C172&gt;0,(IF($AO$7&gt;=$C172+1, (-FV(InflationRate,$AO$7,,$G172)), 0)),0)</f>
        <v>0</v>
      </c>
      <c r="AS172" s="160">
        <f>IF($C172&gt;0,(IF($C172=$AS$7,(-FV(InflationRate,$AS$7,,$D172)),0)),0)</f>
        <v>0</v>
      </c>
      <c r="AT172" s="150">
        <f>IF($C172&gt;0,(IF($AS$7&gt;=$C172+1, (-FV(InflationRate,$AS$7,,$E172)), 0)),0)</f>
        <v>0</v>
      </c>
      <c r="AU172" s="150">
        <f>IF($C172&gt;0,(IF($AS$7&gt;=$C172+1, (-FV(InflationRate,$AS$7,,$F172)), 0)),0)</f>
        <v>0</v>
      </c>
      <c r="AV172" s="165">
        <f>IF($C172&gt;0,(IF($AS$7&gt;=$C172+1, (-FV(InflationRate,$AS$7,,$G172)), 0)),0)</f>
        <v>0</v>
      </c>
      <c r="AW172" s="168">
        <f>IF($C172&gt;0,(IF($C172=$AW$7,(-FV(InflationRate,$AW$7,,$D172)),0)),0)</f>
        <v>0</v>
      </c>
      <c r="AX172" s="149">
        <f>IF($C172&gt;0,(IF($AW$7&gt;=$C172+1, (-FV(InflationRate,$AW$7,,$E172)), 0)),0)</f>
        <v>0</v>
      </c>
      <c r="AY172" s="149">
        <f>IF($C172&gt;0,(IF($AW$7&gt;=$C172+1, (-FV(InflationRate,$AW$7,,$F172)), 0)),0)</f>
        <v>0</v>
      </c>
      <c r="AZ172" s="157">
        <f>IF($C172&gt;0,(IF($AW$7&gt;=$C172+1, (-FV(InflationRate,$AW$7,,$G172)), 0)),0)</f>
        <v>0</v>
      </c>
      <c r="BA172" s="160">
        <f>IF($C172&gt;0,(IF($C172=$BA$7,(-FV(InflationRate,$BA$7,,$D172)),0)),0)</f>
        <v>0</v>
      </c>
      <c r="BB172" s="150">
        <f>IF($C172&gt;0,(IF($BA$7&gt;=$C172+1, (-FV(InflationRate,$BA$7,,$E172)), 0)),0)</f>
        <v>0</v>
      </c>
      <c r="BC172" s="150">
        <f>IF($C172&gt;0,(IF($BA$7&gt;=$C172+1, (-FV(InflationRate,$BA$7,,$F172)), 0)),0)</f>
        <v>0</v>
      </c>
      <c r="BD172" s="176">
        <f>IF($C172&gt;0,(IF($BA$7&gt;=$C172+1, (-FV(InflationRate,$BA$7,,$G172)), 0)),0)</f>
        <v>0</v>
      </c>
      <c r="BE172" s="168">
        <f>IF($C172&gt;0,(IF($C172=$BE$7,(-FV(InflationRate,$BE$7,,$D172)),0)),0)</f>
        <v>0</v>
      </c>
      <c r="BF172" s="149">
        <f>IF($C172&gt;0,(IF($BE$7&gt;=$C172+1, (-FV(InflationRate,$BE$7,,$E172)), 0)),0)</f>
        <v>0</v>
      </c>
      <c r="BG172" s="149">
        <f>IF($C172&gt;0,(IF($BE$7&gt;=$C172+1, (-FV(InflationRate,$BE$7,,$F172)), 0)),0)</f>
        <v>0</v>
      </c>
      <c r="BH172" s="171">
        <f>IF($C172&gt;0,(IF($BE$7&gt;=$C172+1, (-FV(InflationRate,$BE$7,,$G172)), 0)),0)</f>
        <v>0</v>
      </c>
      <c r="BI172" s="160">
        <f>IF($C172&gt;0,(IF($C172=$BI$7,(-FV(InflationRate,$BI$7,,$D172)),0)),0)</f>
        <v>0</v>
      </c>
      <c r="BJ172" s="150">
        <f>IF($C172&gt;0,(IF($BI$7&gt;=$C172+1, (-FV(InflationRate,$BI$7,,$E172)), 0)),0)</f>
        <v>0</v>
      </c>
      <c r="BK172" s="150">
        <f>IF($C172&gt;0,(IF($BI$7&gt;=$C172+1, (-FV(InflationRate,$BI$7,,$F172)), 0)),0)</f>
        <v>0</v>
      </c>
      <c r="BL172" s="176">
        <f>IF($C172&gt;0,(IF($BI$7&gt;=$C172+1, (-FV(InflationRate,$BI$7,,$G172)), 0)),0)</f>
        <v>0</v>
      </c>
      <c r="BM172" s="168">
        <f>IF($C172&gt;0,(IF($C172=$BM$7,(-FV(InflationRate,$BM$7,,$D172)),0)),0)</f>
        <v>0</v>
      </c>
      <c r="BN172" s="149">
        <f>IF($C172&gt;0,(IF($BM$7&gt;=$C172+1, (-FV(InflationRate,$BM$7,,$E172)), 0)),0)</f>
        <v>0</v>
      </c>
      <c r="BO172" s="149">
        <f>IF($C172&gt;0,(IF($BM$7&gt;=$C172+1, (-FV(InflationRate,$BM$7,,$F172)), 0)),0)</f>
        <v>0</v>
      </c>
      <c r="BP172" s="157">
        <f>IF($C172&gt;0,(IF($BM$7&gt;=$C172+1, (-FV(InflationRate,$BM$7,,$G172)), 0)),0)</f>
        <v>0</v>
      </c>
      <c r="BQ172" s="160">
        <f>IF($C172&gt;0,(IF($C172=$BQ$7,(-FV(InflationRate,$BQ$7,,$D172)),0)),0)</f>
        <v>0</v>
      </c>
      <c r="BR172" s="150">
        <f>IF($C172&gt;0,(IF($BQ$7&gt;=$C172+1, (-FV(InflationRate,$BQ$7,,$E172)), 0)),0)</f>
        <v>0</v>
      </c>
      <c r="BS172" s="150">
        <f>IF($C172&gt;0,(IF($BQ$7&gt;=$C172+1, (-FV(InflationRate,$BQ$7,,$F172)), 0)),0)</f>
        <v>0</v>
      </c>
      <c r="BT172" s="176">
        <f>IF($C172&gt;0,(IF($BQ$7&gt;=$C172+1, (-FV(InflationRate,$BQ$7,,$G172)), 0)),0)</f>
        <v>0</v>
      </c>
      <c r="BU172" s="168">
        <f>IF($C172&gt;0,(IF($C172=$BU$7,(-FV(InflationRate,$BU$7,,$D172)),0)),0)</f>
        <v>0</v>
      </c>
      <c r="BV172" s="149">
        <f>IF($C172&gt;0,(IF($BU$7&gt;=$C172+1, (-FV(InflationRate,$BU$7,,$E172)), 0)),0)</f>
        <v>0</v>
      </c>
      <c r="BW172" s="149">
        <f>IF($C172&gt;0,(IF($BU$7&gt;=$C172+1, (-FV(InflationRate,$BU$7,,$F172)), 0)),0)</f>
        <v>0</v>
      </c>
      <c r="BX172" s="157">
        <f>IF($C172&gt;0,(IF($BU$7&gt;=$C172+1, (-FV(InflationRate,$BU$7,,$G172)), 0)),0)</f>
        <v>0</v>
      </c>
      <c r="BY172" s="160">
        <f>IF($C172&gt;0,(IF($C172=$BY$7,(-FV(InflationRate,$BY$7,,$D172)),0)),0)</f>
        <v>0</v>
      </c>
      <c r="BZ172" s="150">
        <f>IF($C172&gt;0,(IF($BY$7&gt;=$C172+1, (-FV(InflationRate,$BY$7,,$E172)), 0)),0)</f>
        <v>0</v>
      </c>
      <c r="CA172" s="150">
        <f>IF($C172&gt;0,(IF($BY$7&gt;=$C172+1, (-FV(InflationRate,$BY$7,,$F172)), 0)),0)</f>
        <v>0</v>
      </c>
      <c r="CB172" s="176">
        <f>IF($C172&gt;0,(IF($BY$7&gt;=$C172+1, (-FV(InflationRate,$BY$7,,$G172)), 0)),0)</f>
        <v>0</v>
      </c>
      <c r="CC172" s="168">
        <f>IF($C172&gt;0,(IF($C172=$CC$7,(-FV(InflationRate,$CC$7,,$D172)),0)),0)</f>
        <v>0</v>
      </c>
      <c r="CD172" s="149">
        <f>IF($C172&gt;0,(IF($CC$7&gt;=$C172+1, (-FV(InflationRate,$CC$7,,$E172)), 0)),0)</f>
        <v>0</v>
      </c>
      <c r="CE172" s="149">
        <f>IF($C172&gt;0,(IF($CC$7&gt;=$C172+1, (-FV(InflationRate,$CC$7,,$F172)), 0)),0)</f>
        <v>0</v>
      </c>
      <c r="CF172" s="157">
        <f>IF($C172&gt;0,(IF($CC$7&gt;=$C172+1, (-FV(InflationRate,$CC$7,,$G172)), 0)),0)</f>
        <v>0</v>
      </c>
      <c r="CG172" s="160">
        <f>IF($C172&gt;0,(IF($C172=$CG$7,(-FV(InflationRate,$CG$7,,$D172)),0)),0)</f>
        <v>0</v>
      </c>
      <c r="CH172" s="150">
        <f>IF($C172&gt;0,(IF($CG$7&gt;=$C172+1, (-FV(InflationRate,$CG$7,,$E172)), 0)),0)</f>
        <v>0</v>
      </c>
      <c r="CI172" s="150">
        <f>IF($C172&gt;0,(IF($CG$7&gt;=$C172+1, (-FV(InflationRate,$CG$7,,$F172)), 0)),0)</f>
        <v>0</v>
      </c>
      <c r="CJ172" s="176">
        <f>IF($C172&gt;0,(IF($CG$7&gt;=$C172+1, (-FV(InflationRate,$CG$7,,$G172)), 0)),0)</f>
        <v>0</v>
      </c>
      <c r="CK172" s="168">
        <f>IF($C172&gt;0,(IF($C172=$CK$7,(-FV(InflationRate,$CK$7,,$D172)),0)),0)</f>
        <v>0</v>
      </c>
      <c r="CL172" s="149">
        <f>IF($C172&gt;0,(IF($CK$7&gt;=$C172+1, (-FV(InflationRate,$CK$7,,$E172)), 0)),0)</f>
        <v>0</v>
      </c>
      <c r="CM172" s="149">
        <f>IF($C172&gt;0,(IF($CK$7&gt;=$C172+1, (-FV(InflationRate,$CK$7,,$F172)), 0)),0)</f>
        <v>0</v>
      </c>
      <c r="CN172" s="157">
        <f>IF($C172&gt;0,(IF($CK$7&gt;=$C172+1, (-FV(InflationRate,$CK$7,,$G172)), 0)),0)</f>
        <v>0</v>
      </c>
      <c r="CO172" s="160">
        <f>IF($C172&gt;0,(IF($C172=$CO$7,(-FV(InflationRate,$CO$7,,$D172)),0)),0)</f>
        <v>0</v>
      </c>
      <c r="CP172" s="150">
        <f>IF($C172&gt;0,(IF($CO$7&gt;=$C172+1, (-FV(InflationRate,$CO$7,,$E172)), 0)),0)</f>
        <v>0</v>
      </c>
      <c r="CQ172" s="150">
        <f>IF($C172&gt;0,(IF($CO$7&gt;=$C172+1, (-FV(InflationRate,$CO$7,,$F172)), 0)),0)</f>
        <v>0</v>
      </c>
      <c r="CR172" s="176">
        <f>IF($C172&gt;0,(IF($CO$7&gt;=$C172+1, (-FV(InflationRate,$CO$7,,$G172)), 0)),0)</f>
        <v>0</v>
      </c>
      <c r="CS172" s="168">
        <f>IF($C172&gt;0,(IF($C172=$CS$7,(-FV(InflationRate,$CS$7,,$D172)),0)),0)</f>
        <v>0</v>
      </c>
      <c r="CT172" s="149">
        <f>IF($C172&gt;0,(IF($CS$7&gt;=$C172+1, (-FV(InflationRate,$CS$7,,$E172)), 0)),0)</f>
        <v>0</v>
      </c>
      <c r="CU172" s="149">
        <f>IF($C172&gt;0,(IF($CS$7&gt;=$C172+1, (-FV(InflationRate,$CS$7,,$F172)), 0)),0)</f>
        <v>0</v>
      </c>
      <c r="CV172" s="157">
        <f>IF($C172&gt;0,(IF($CS$7&gt;=$C172+1, (-FV(InflationRate,$CS$7,,$G172)), 0)),0)</f>
        <v>0</v>
      </c>
      <c r="CW172" s="160">
        <f>IF($C172&gt;0,(IF($C172=$CW$7,(-FV(InflationRate,$CW$7,,$D172)),0)),0)</f>
        <v>0</v>
      </c>
      <c r="CX172" s="150">
        <f>IF($C172&gt;0,(IF($CW$7&gt;=$C172+1, (-FV(InflationRate,$CW$7,,$E172)), 0)),0)</f>
        <v>0</v>
      </c>
      <c r="CY172" s="150">
        <f>IF($C172&gt;0,(IF($CW$7&gt;=$C172+1, (-FV(InflationRate,$CW$7,,$F172)), 0)),0)</f>
        <v>0</v>
      </c>
      <c r="CZ172" s="176">
        <f>IF($C172&gt;0,(IF($CW$7&gt;=$C172+1, (-FV(InflationRate,$CW$7,,$G172)), 0)),0)</f>
        <v>0</v>
      </c>
      <c r="DA172" s="168">
        <f>IF($C172&gt;0,(IF($C172=$DA$7,(-FV(InflationRate,$DA$7,,$D172)),0)),0)</f>
        <v>0</v>
      </c>
      <c r="DB172" s="149">
        <f>IF($C172&gt;0,(IF($DA$7&gt;=$C172+1, (-FV(InflationRate,$DA$7,,$E172)), 0)),0)</f>
        <v>0</v>
      </c>
      <c r="DC172" s="149">
        <f>IF($C172&gt;0,(IF($DA$7&gt;=$C172+1, (-FV(InflationRate,$DA$7,,$F172)), 0)),0)</f>
        <v>0</v>
      </c>
      <c r="DD172" s="157">
        <f>IF($C172&gt;0,(IF($DA$7&gt;=$C172+1, (-FV(InflationRate,$DA$7,,$G172)), 0)),0)</f>
        <v>0</v>
      </c>
    </row>
    <row r="173" spans="2:108" x14ac:dyDescent="0.2">
      <c r="B173" s="183" t="s">
        <v>270</v>
      </c>
      <c r="C173" s="556">
        <v>1</v>
      </c>
      <c r="D173" s="168">
        <f>D171-D172</f>
        <v>55300</v>
      </c>
      <c r="E173" s="149">
        <f>E171</f>
        <v>0</v>
      </c>
      <c r="F173" s="149"/>
      <c r="G173" s="149">
        <f>G171</f>
        <v>58900</v>
      </c>
      <c r="H173" s="168">
        <f>SUM(I173:AB173)</f>
        <v>1251607.5378423044</v>
      </c>
      <c r="I173" s="610">
        <f>-PV(InterestRate,I$8,,(SUM(AC173:AF173)))</f>
        <v>54482.758620689659</v>
      </c>
      <c r="J173" s="610">
        <f>-PV(InterestRate,J$8,,(SUM(AG173:AJ173)))</f>
        <v>0</v>
      </c>
      <c r="K173" s="610">
        <f>-PV(InterestRate,K$8,,(SUM(AK173:AN173)))</f>
        <v>0</v>
      </c>
      <c r="L173" s="610">
        <f>-PV(InterestRate,L$8,,(SUM(AO173:AR173)))</f>
        <v>62459.718792832769</v>
      </c>
      <c r="M173" s="610">
        <f>-PV(InterestRate,M$8,,(SUM(AS173:AV173)))</f>
        <v>63382.768824253952</v>
      </c>
      <c r="N173" s="610">
        <f>-PV(InterestRate,N$8,,(SUM(AW173:AZ173)))</f>
        <v>64319.459989144423</v>
      </c>
      <c r="O173" s="610">
        <f>-PV(InterestRate,O$8,,(SUM(BA173:BD173)))</f>
        <v>65269.993880609618</v>
      </c>
      <c r="P173" s="610">
        <f>-PV(InterestRate,P$8,,(SUM(BE173:BH173)))</f>
        <v>66234.575070963459</v>
      </c>
      <c r="Q173" s="610">
        <f>-PV(InterestRate,Q$8,,(SUM(BI173:BL173)))</f>
        <v>67213.411155756025</v>
      </c>
      <c r="R173" s="610">
        <f>-PV(InterestRate,R$8,,(SUM(BM173:BP173)))</f>
        <v>68206.712798451932</v>
      </c>
      <c r="S173" s="610">
        <f>-PV(InterestRate,S$8,,(SUM(BQ173:BT173)))</f>
        <v>69214.693775768974</v>
      </c>
      <c r="T173" s="610">
        <f>-PV(InterestRate,T$8,,(SUM(BU173:BX173)))</f>
        <v>70237.571023686745</v>
      </c>
      <c r="U173" s="610">
        <f>-PV(InterestRate,U$8,,(SUM(BY173:CB173)))</f>
        <v>71275.564684135315</v>
      </c>
      <c r="V173" s="610">
        <f>-PV(InterestRate,V$8,,(SUM(CC173:CF173)))</f>
        <v>72328.898152373804</v>
      </c>
      <c r="W173" s="610">
        <f>-PV(InterestRate,W$8,,(SUM(CG173:CJ173)))</f>
        <v>73397.798125068992</v>
      </c>
      <c r="X173" s="610">
        <f>-PV(InterestRate,X$8,,(SUM(CK173:CN173)))</f>
        <v>74482.494649084794</v>
      </c>
      <c r="Y173" s="610">
        <f>-PV(InterestRate,Y$8,,(SUM(CO173:CR173)))</f>
        <v>75583.22117099246</v>
      </c>
      <c r="Z173" s="610">
        <f>-PV(InterestRate,Z$8,,(SUM(CS173:CV173)))</f>
        <v>76700.214587312556</v>
      </c>
      <c r="AA173" s="610">
        <f>-PV(InterestRate,AA$8,,(SUM(CW173:CZ173)))</f>
        <v>77833.715295499438</v>
      </c>
      <c r="AB173" s="611">
        <f>-PV(InterestRate,AB$8,,(SUM(DA173:DD173)))</f>
        <v>78983.967245679261</v>
      </c>
      <c r="AC173" s="160">
        <f>IF($C173&gt;0,(IF($C173=$AC$7,$D173,0)),0)</f>
        <v>55300</v>
      </c>
      <c r="AD173" s="150">
        <f>IF($C173&gt;0,(IF($AC$7&gt;=$C173+1,$E173,0)),0)</f>
        <v>0</v>
      </c>
      <c r="AE173" s="150">
        <f>IF($C173&gt;0,(IF($C173=$AC$7,$F173,0)),0)</f>
        <v>0</v>
      </c>
      <c r="AF173" s="165">
        <f>IF($C173&gt;0,(IF($AC$7&gt;=$C173+1,$G173,0)),0)</f>
        <v>0</v>
      </c>
      <c r="AG173" s="168"/>
      <c r="AH173" s="149"/>
      <c r="AI173" s="149"/>
      <c r="AJ173" s="171"/>
      <c r="AK173" s="160"/>
      <c r="AL173" s="150"/>
      <c r="AM173" s="150"/>
      <c r="AN173" s="165"/>
      <c r="AO173" s="168">
        <f>IF($C173&gt;0,(IF($C173=$AO$7,(-FV(InflationRate,$AO$7,,$D173)),0)),0)</f>
        <v>0</v>
      </c>
      <c r="AP173" s="149">
        <f>IF($C173&gt;0,(IF($AO$7&gt;=$C173+1, (-FV(InflationRate,$AO$7,,$E173)), 0)),0)</f>
        <v>0</v>
      </c>
      <c r="AQ173" s="149">
        <f>IF($C173&gt;0,(IF($AO$7&gt;=$C173+1, (-FV(InflationRate,$AO$7,,$F173)), 0)),0)</f>
        <v>0</v>
      </c>
      <c r="AR173" s="157">
        <f>IF($C173&gt;0,(IF($AO$7&gt;=$C173+1, (-FV(InflationRate,$AO$7,,$G173)), 0)),0)</f>
        <v>66292.468908999988</v>
      </c>
      <c r="AS173" s="160">
        <f>IF($C173&gt;0,(IF($C173=$AS$7,(-FV(InflationRate,$AS$7,,$D173)),0)),0)</f>
        <v>0</v>
      </c>
      <c r="AT173" s="150">
        <f>IF($C173&gt;0,(IF($AS$7&gt;=$C173+1, (-FV(InflationRate,$AS$7,,$E173)), 0)),0)</f>
        <v>0</v>
      </c>
      <c r="AU173" s="150">
        <f>IF($C173&gt;0,(IF($AS$7&gt;=$C173+1, (-FV(InflationRate,$AS$7,,$F173)), 0)),0)</f>
        <v>0</v>
      </c>
      <c r="AV173" s="165">
        <f>IF($C173&gt;0,(IF($AS$7&gt;=$C173+1, (-FV(InflationRate,$AS$7,,$G173)), 0)),0)</f>
        <v>68281.24297626999</v>
      </c>
      <c r="AW173" s="168">
        <f>IF($C173&gt;0,(IF($C173=$AW$7,(-FV(InflationRate,$AW$7,,$D173)),0)),0)</f>
        <v>0</v>
      </c>
      <c r="AX173" s="149">
        <f>IF($C173&gt;0,(IF($AW$7&gt;=$C173+1, (-FV(InflationRate,$AW$7,,$E173)), 0)),0)</f>
        <v>0</v>
      </c>
      <c r="AY173" s="149">
        <f>IF($C173&gt;0,(IF($AW$7&gt;=$C173+1, (-FV(InflationRate,$AW$7,,$F173)), 0)),0)</f>
        <v>0</v>
      </c>
      <c r="AZ173" s="157">
        <f>IF($C173&gt;0,(IF($AW$7&gt;=$C173+1, (-FV(InflationRate,$AW$7,,$G173)), 0)),0)</f>
        <v>70329.680265558098</v>
      </c>
      <c r="BA173" s="160">
        <f>IF($C173&gt;0,(IF($C173=$BA$7,(-FV(InflationRate,$BA$7,,$D173)),0)),0)</f>
        <v>0</v>
      </c>
      <c r="BB173" s="150">
        <f>IF($C173&gt;0,(IF($BA$7&gt;=$C173+1, (-FV(InflationRate,$BA$7,,$E173)), 0)),0)</f>
        <v>0</v>
      </c>
      <c r="BC173" s="150">
        <f>IF($C173&gt;0,(IF($BA$7&gt;=$C173+1, (-FV(InflationRate,$BA$7,,$F173)), 0)),0)</f>
        <v>0</v>
      </c>
      <c r="BD173" s="176">
        <f>IF($C173&gt;0,(IF($BA$7&gt;=$C173+1, (-FV(InflationRate,$BA$7,,$G173)), 0)),0)</f>
        <v>72439.570673524839</v>
      </c>
      <c r="BE173" s="168">
        <f>IF($C173&gt;0,(IF($C173=$BE$7,(-FV(InflationRate,$BE$7,,$D173)),0)),0)</f>
        <v>0</v>
      </c>
      <c r="BF173" s="149">
        <f>IF($C173&gt;0,(IF($BE$7&gt;=$C173+1, (-FV(InflationRate,$BE$7,,$E173)), 0)),0)</f>
        <v>0</v>
      </c>
      <c r="BG173" s="149">
        <f>IF($C173&gt;0,(IF($BE$7&gt;=$C173+1, (-FV(InflationRate,$BE$7,,$F173)), 0)),0)</f>
        <v>0</v>
      </c>
      <c r="BH173" s="171">
        <f>IF($C173&gt;0,(IF($BE$7&gt;=$C173+1, (-FV(InflationRate,$BE$7,,$G173)), 0)),0)</f>
        <v>74612.757793730576</v>
      </c>
      <c r="BI173" s="160">
        <f>IF($C173&gt;0,(IF($C173=$BI$7,(-FV(InflationRate,$BI$7,,$D173)),0)),0)</f>
        <v>0</v>
      </c>
      <c r="BJ173" s="150">
        <f>IF($C173&gt;0,(IF($BI$7&gt;=$C173+1, (-FV(InflationRate,$BI$7,,$E173)), 0)),0)</f>
        <v>0</v>
      </c>
      <c r="BK173" s="150">
        <f>IF($C173&gt;0,(IF($BI$7&gt;=$C173+1, (-FV(InflationRate,$BI$7,,$F173)), 0)),0)</f>
        <v>0</v>
      </c>
      <c r="BL173" s="176">
        <f>IF($C173&gt;0,(IF($BI$7&gt;=$C173+1, (-FV(InflationRate,$BI$7,,$G173)), 0)),0)</f>
        <v>76851.140527542491</v>
      </c>
      <c r="BM173" s="168">
        <f>IF($C173&gt;0,(IF($C173=$BM$7,(-FV(InflationRate,$BM$7,,$D173)),0)),0)</f>
        <v>0</v>
      </c>
      <c r="BN173" s="149">
        <f>IF($C173&gt;0,(IF($BM$7&gt;=$C173+1, (-FV(InflationRate,$BM$7,,$E173)), 0)),0)</f>
        <v>0</v>
      </c>
      <c r="BO173" s="149">
        <f>IF($C173&gt;0,(IF($BM$7&gt;=$C173+1, (-FV(InflationRate,$BM$7,,$F173)), 0)),0)</f>
        <v>0</v>
      </c>
      <c r="BP173" s="157">
        <f>IF($C173&gt;0,(IF($BM$7&gt;=$C173+1, (-FV(InflationRate,$BM$7,,$G173)), 0)),0)</f>
        <v>79156.674743368771</v>
      </c>
      <c r="BQ173" s="160">
        <f>IF($C173&gt;0,(IF($C173=$BQ$7,(-FV(InflationRate,$BQ$7,,$D173)),0)),0)</f>
        <v>0</v>
      </c>
      <c r="BR173" s="150">
        <f>IF($C173&gt;0,(IF($BQ$7&gt;=$C173+1, (-FV(InflationRate,$BQ$7,,$E173)), 0)),0)</f>
        <v>0</v>
      </c>
      <c r="BS173" s="150">
        <f>IF($C173&gt;0,(IF($BQ$7&gt;=$C173+1, (-FV(InflationRate,$BQ$7,,$F173)), 0)),0)</f>
        <v>0</v>
      </c>
      <c r="BT173" s="176">
        <f>IF($C173&gt;0,(IF($BQ$7&gt;=$C173+1, (-FV(InflationRate,$BQ$7,,$G173)), 0)),0)</f>
        <v>81531.374985669841</v>
      </c>
      <c r="BU173" s="168">
        <f>IF($C173&gt;0,(IF($C173=$BU$7,(-FV(InflationRate,$BU$7,,$D173)),0)),0)</f>
        <v>0</v>
      </c>
      <c r="BV173" s="149">
        <f>IF($C173&gt;0,(IF($BU$7&gt;=$C173+1, (-FV(InflationRate,$BU$7,,$E173)), 0)),0)</f>
        <v>0</v>
      </c>
      <c r="BW173" s="149">
        <f>IF($C173&gt;0,(IF($BU$7&gt;=$C173+1, (-FV(InflationRate,$BU$7,,$F173)), 0)),0)</f>
        <v>0</v>
      </c>
      <c r="BX173" s="157">
        <f>IF($C173&gt;0,(IF($BU$7&gt;=$C173+1, (-FV(InflationRate,$BU$7,,$G173)), 0)),0)</f>
        <v>83977.316235239923</v>
      </c>
      <c r="BY173" s="160">
        <f>IF($C173&gt;0,(IF($C173=$BY$7,(-FV(InflationRate,$BY$7,,$D173)),0)),0)</f>
        <v>0</v>
      </c>
      <c r="BZ173" s="150">
        <f>IF($C173&gt;0,(IF($BY$7&gt;=$C173+1, (-FV(InflationRate,$BY$7,,$E173)), 0)),0)</f>
        <v>0</v>
      </c>
      <c r="CA173" s="150">
        <f>IF($C173&gt;0,(IF($BY$7&gt;=$C173+1, (-FV(InflationRate,$BY$7,,$F173)), 0)),0)</f>
        <v>0</v>
      </c>
      <c r="CB173" s="176">
        <f>IF($C173&gt;0,(IF($BY$7&gt;=$C173+1, (-FV(InflationRate,$BY$7,,$G173)), 0)),0)</f>
        <v>86496.635722297113</v>
      </c>
      <c r="CC173" s="168">
        <f>IF($C173&gt;0,(IF($C173=$CC$7,(-FV(InflationRate,$CC$7,,$D173)),0)),0)</f>
        <v>0</v>
      </c>
      <c r="CD173" s="149">
        <f>IF($C173&gt;0,(IF($CC$7&gt;=$C173+1, (-FV(InflationRate,$CC$7,,$E173)), 0)),0)</f>
        <v>0</v>
      </c>
      <c r="CE173" s="149">
        <f>IF($C173&gt;0,(IF($CC$7&gt;=$C173+1, (-FV(InflationRate,$CC$7,,$F173)), 0)),0)</f>
        <v>0</v>
      </c>
      <c r="CF173" s="157">
        <f>IF($C173&gt;0,(IF($CC$7&gt;=$C173+1, (-FV(InflationRate,$CC$7,,$G173)), 0)),0)</f>
        <v>89091.534793966042</v>
      </c>
      <c r="CG173" s="160">
        <f>IF($C173&gt;0,(IF($C173=$CG$7,(-FV(InflationRate,$CG$7,,$D173)),0)),0)</f>
        <v>0</v>
      </c>
      <c r="CH173" s="150">
        <f>IF($C173&gt;0,(IF($CG$7&gt;=$C173+1, (-FV(InflationRate,$CG$7,,$E173)), 0)),0)</f>
        <v>0</v>
      </c>
      <c r="CI173" s="150">
        <f>IF($C173&gt;0,(IF($CG$7&gt;=$C173+1, (-FV(InflationRate,$CG$7,,$F173)), 0)),0)</f>
        <v>0</v>
      </c>
      <c r="CJ173" s="176">
        <f>IF($C173&gt;0,(IF($CG$7&gt;=$C173+1, (-FV(InflationRate,$CG$7,,$G173)), 0)),0)</f>
        <v>91764.280837785031</v>
      </c>
      <c r="CK173" s="168">
        <f>IF($C173&gt;0,(IF($C173=$CK$7,(-FV(InflationRate,$CK$7,,$D173)),0)),0)</f>
        <v>0</v>
      </c>
      <c r="CL173" s="149">
        <f>IF($C173&gt;0,(IF($CK$7&gt;=$C173+1, (-FV(InflationRate,$CK$7,,$E173)), 0)),0)</f>
        <v>0</v>
      </c>
      <c r="CM173" s="149">
        <f>IF($C173&gt;0,(IF($CK$7&gt;=$C173+1, (-FV(InflationRate,$CK$7,,$F173)), 0)),0)</f>
        <v>0</v>
      </c>
      <c r="CN173" s="157">
        <f>IF($C173&gt;0,(IF($CK$7&gt;=$C173+1, (-FV(InflationRate,$CK$7,,$G173)), 0)),0)</f>
        <v>94517.209262918564</v>
      </c>
      <c r="CO173" s="160">
        <f>IF($C173&gt;0,(IF($C173=$CO$7,(-FV(InflationRate,$CO$7,,$D173)),0)),0)</f>
        <v>0</v>
      </c>
      <c r="CP173" s="150">
        <f>IF($C173&gt;0,(IF($CO$7&gt;=$C173+1, (-FV(InflationRate,$CO$7,,$E173)), 0)),0)</f>
        <v>0</v>
      </c>
      <c r="CQ173" s="150">
        <f>IF($C173&gt;0,(IF($CO$7&gt;=$C173+1, (-FV(InflationRate,$CO$7,,$F173)), 0)),0)</f>
        <v>0</v>
      </c>
      <c r="CR173" s="176">
        <f>IF($C173&gt;0,(IF($CO$7&gt;=$C173+1, (-FV(InflationRate,$CO$7,,$G173)), 0)),0)</f>
        <v>97352.725540806117</v>
      </c>
      <c r="CS173" s="168">
        <f>IF($C173&gt;0,(IF($C173=$CS$7,(-FV(InflationRate,$CS$7,,$D173)),0)),0)</f>
        <v>0</v>
      </c>
      <c r="CT173" s="149">
        <f>IF($C173&gt;0,(IF($CS$7&gt;=$C173+1, (-FV(InflationRate,$CS$7,,$E173)), 0)),0)</f>
        <v>0</v>
      </c>
      <c r="CU173" s="149">
        <f>IF($C173&gt;0,(IF($CS$7&gt;=$C173+1, (-FV(InflationRate,$CS$7,,$F173)), 0)),0)</f>
        <v>0</v>
      </c>
      <c r="CV173" s="157">
        <f>IF($C173&gt;0,(IF($CS$7&gt;=$C173+1, (-FV(InflationRate,$CS$7,,$G173)), 0)),0)</f>
        <v>100273.30730703031</v>
      </c>
      <c r="CW173" s="160">
        <f>IF($C173&gt;0,(IF($C173=$CW$7,(-FV(InflationRate,$CW$7,,$D173)),0)),0)</f>
        <v>0</v>
      </c>
      <c r="CX173" s="150">
        <f>IF($C173&gt;0,(IF($CW$7&gt;=$C173+1, (-FV(InflationRate,$CW$7,,$E173)), 0)),0)</f>
        <v>0</v>
      </c>
      <c r="CY173" s="150">
        <f>IF($C173&gt;0,(IF($CW$7&gt;=$C173+1, (-FV(InflationRate,$CW$7,,$F173)), 0)),0)</f>
        <v>0</v>
      </c>
      <c r="CZ173" s="176">
        <f>IF($C173&gt;0,(IF($CW$7&gt;=$C173+1, (-FV(InflationRate,$CW$7,,$G173)), 0)),0)</f>
        <v>103281.50652624121</v>
      </c>
      <c r="DA173" s="168">
        <f>IF($C173&gt;0,(IF($C173=$DA$7,(-FV(InflationRate,$DA$7,,$D173)),0)),0)</f>
        <v>0</v>
      </c>
      <c r="DB173" s="149">
        <f>IF($C173&gt;0,(IF($DA$7&gt;=$C173+1, (-FV(InflationRate,$DA$7,,$E173)), 0)),0)</f>
        <v>0</v>
      </c>
      <c r="DC173" s="149">
        <f>IF($C173&gt;0,(IF($DA$7&gt;=$C173+1, (-FV(InflationRate,$DA$7,,$F173)), 0)),0)</f>
        <v>0</v>
      </c>
      <c r="DD173" s="157">
        <f>IF($C173&gt;0,(IF($DA$7&gt;=$C173+1, (-FV(InflationRate,$DA$7,,$G173)), 0)),0)</f>
        <v>106379.95172202845</v>
      </c>
    </row>
    <row r="174" spans="2:108" x14ac:dyDescent="0.2">
      <c r="B174" s="183" t="s">
        <v>203</v>
      </c>
      <c r="C174" s="556">
        <v>2</v>
      </c>
      <c r="D174" s="168"/>
      <c r="E174" s="149"/>
      <c r="F174" s="149">
        <f>F171</f>
        <v>533000</v>
      </c>
      <c r="G174" s="149"/>
      <c r="H174" s="168">
        <f>SUM(I174:AB174)</f>
        <v>10833064.640494406</v>
      </c>
      <c r="I174" s="610">
        <f>-PV(InterestRate,I$8,,(SUM(AC174:AF174)))</f>
        <v>0</v>
      </c>
      <c r="J174" s="610">
        <f>-PV(InterestRate,J$8,,(SUM(AG174:AJ174)))</f>
        <v>0</v>
      </c>
      <c r="K174" s="610">
        <f>-PV(InterestRate,K$8,,(SUM(AK174:AN174)))</f>
        <v>0</v>
      </c>
      <c r="L174" s="610">
        <f>-PV(InterestRate,L$8,,(SUM(AO174:AR174)))</f>
        <v>565212.73542580416</v>
      </c>
      <c r="M174" s="610">
        <f>-PV(InterestRate,M$8,,(SUM(AS174:AV174)))</f>
        <v>573565.63299367332</v>
      </c>
      <c r="N174" s="610">
        <f>-PV(InterestRate,N$8,,(SUM(AW174:AZ174)))</f>
        <v>582041.97239752079</v>
      </c>
      <c r="O174" s="610">
        <f>-PV(InterestRate,O$8,,(SUM(BA174:BD174)))</f>
        <v>590643.57790093264</v>
      </c>
      <c r="P174" s="610">
        <f>-PV(InterestRate,P$8,,(SUM(BE174:BH174)))</f>
        <v>599372.30072705471</v>
      </c>
      <c r="Q174" s="610">
        <f>-PV(InterestRate,Q$8,,(SUM(BI174:BL174)))</f>
        <v>608230.01945701125</v>
      </c>
      <c r="R174" s="610">
        <f>-PV(InterestRate,R$8,,(SUM(BM174:BP174)))</f>
        <v>617218.64043420856</v>
      </c>
      <c r="S174" s="610">
        <f>-PV(InterestRate,S$8,,(SUM(BQ174:BT174)))</f>
        <v>626340.09817461565</v>
      </c>
      <c r="T174" s="610">
        <f>-PV(InterestRate,T$8,,(SUM(BU174:BX174)))</f>
        <v>635596.35578310757</v>
      </c>
      <c r="U174" s="610">
        <f>-PV(InterestRate,U$8,,(SUM(BY174:CB174)))</f>
        <v>644989.40537596145</v>
      </c>
      <c r="V174" s="610">
        <f>-PV(InterestRate,V$8,,(SUM(CC174:CF174)))</f>
        <v>654521.26850959659</v>
      </c>
      <c r="W174" s="610">
        <f>-PV(InterestRate,W$8,,(SUM(CG174:CJ174)))</f>
        <v>664193.9966156499</v>
      </c>
      <c r="X174" s="610">
        <f>-PV(InterestRate,X$8,,(SUM(CK174:CN174)))</f>
        <v>674009.67144248204</v>
      </c>
      <c r="Y174" s="610">
        <f>-PV(InterestRate,Y$8,,(SUM(CO174:CR174)))</f>
        <v>683970.40550320852</v>
      </c>
      <c r="Z174" s="610">
        <f>-PV(InterestRate,Z$8,,(SUM(CS174:CV174)))</f>
        <v>694078.3425303495</v>
      </c>
      <c r="AA174" s="610">
        <f>-PV(InterestRate,AA$8,,(SUM(CW174:CZ174)))</f>
        <v>704335.65793720202</v>
      </c>
      <c r="AB174" s="611">
        <f>-PV(InterestRate,AB$8,,(SUM(DA174:DD174)))</f>
        <v>714744.55928602791</v>
      </c>
      <c r="AC174" s="160">
        <f>IF($C174&gt;0,(IF($C174=$AC$7,$D174,0)),0)</f>
        <v>0</v>
      </c>
      <c r="AD174" s="150">
        <f>IF($C174&gt;0,(IF($AC$7&gt;=$C174+1,$E174,0)),0)</f>
        <v>0</v>
      </c>
      <c r="AE174" s="150">
        <f>IF($C174&gt;0,(IF($C174=$AC$7,$F174,0)),0)</f>
        <v>0</v>
      </c>
      <c r="AF174" s="165">
        <f>IF($C174&gt;0,(IF($AC$7&gt;=$C174+1,$G174,0)),0)</f>
        <v>0</v>
      </c>
      <c r="AG174" s="168"/>
      <c r="AH174" s="149"/>
      <c r="AI174" s="149"/>
      <c r="AJ174" s="171"/>
      <c r="AK174" s="160"/>
      <c r="AL174" s="150"/>
      <c r="AM174" s="150"/>
      <c r="AN174" s="165"/>
      <c r="AO174" s="168">
        <f>IF($C174&gt;0,(IF($C174=$AO$7,(-FV(InflationRate,$AO$7,,$D174)),0)),0)</f>
        <v>0</v>
      </c>
      <c r="AP174" s="149">
        <f>IF($C174&gt;0,(IF($AO$7&gt;=$C174+1, (-FV(InflationRate,$AO$7,,$E174)), 0)),0)</f>
        <v>0</v>
      </c>
      <c r="AQ174" s="149">
        <f>IF($C174&gt;0,(IF($AO$7&gt;=$C174+1, (-FV(InflationRate,$AO$7,,$F174)), 0)),0)</f>
        <v>599896.19572999992</v>
      </c>
      <c r="AR174" s="157">
        <f>IF($C174&gt;0,(IF($AO$7&gt;=$C174+1, (-FV(InflationRate,$AO$7,,$G174)), 0)),0)</f>
        <v>0</v>
      </c>
      <c r="AS174" s="160">
        <f>IF($C174&gt;0,(IF($C174=$AS$7,(-FV(InflationRate,$AS$7,,$D174)),0)),0)</f>
        <v>0</v>
      </c>
      <c r="AT174" s="150">
        <f>IF($C174&gt;0,(IF($AS$7&gt;=$C174+1, (-FV(InflationRate,$AS$7,,$E174)), 0)),0)</f>
        <v>0</v>
      </c>
      <c r="AU174" s="150">
        <f>IF($C174&gt;0,(IF($AS$7&gt;=$C174+1, (-FV(InflationRate,$AS$7,,$F174)), 0)),0)</f>
        <v>617893.08160189993</v>
      </c>
      <c r="AV174" s="165">
        <f>IF($C174&gt;0,(IF($AS$7&gt;=$C174+1, (-FV(InflationRate,$AS$7,,$G174)), 0)),0)</f>
        <v>0</v>
      </c>
      <c r="AW174" s="168">
        <f>IF($C174&gt;0,(IF($C174=$AW$7,(-FV(InflationRate,$AW$7,,$D174)),0)),0)</f>
        <v>0</v>
      </c>
      <c r="AX174" s="149">
        <f>IF($C174&gt;0,(IF($AW$7&gt;=$C174+1, (-FV(InflationRate,$AW$7,,$E174)), 0)),0)</f>
        <v>0</v>
      </c>
      <c r="AY174" s="149">
        <f>IF($C174&gt;0,(IF($AW$7&gt;=$C174+1, (-FV(InflationRate,$AW$7,,$F174)), 0)),0)</f>
        <v>636429.87404995691</v>
      </c>
      <c r="AZ174" s="157">
        <f>IF($C174&gt;0,(IF($AW$7&gt;=$C174+1, (-FV(InflationRate,$AW$7,,$G174)), 0)),0)</f>
        <v>0</v>
      </c>
      <c r="BA174" s="160">
        <f>IF($C174&gt;0,(IF($C174=$BA$7,(-FV(InflationRate,$BA$7,,$D174)),0)),0)</f>
        <v>0</v>
      </c>
      <c r="BB174" s="150">
        <f>IF($C174&gt;0,(IF($BA$7&gt;=$C174+1, (-FV(InflationRate,$BA$7,,$E174)), 0)),0)</f>
        <v>0</v>
      </c>
      <c r="BC174" s="150">
        <f>IF($C174&gt;0,(IF($BA$7&gt;=$C174+1, (-FV(InflationRate,$BA$7,,$F174)), 0)),0)</f>
        <v>655522.77027145575</v>
      </c>
      <c r="BD174" s="176">
        <f>IF($C174&gt;0,(IF($BA$7&gt;=$C174+1, (-FV(InflationRate,$BA$7,,$G174)), 0)),0)</f>
        <v>0</v>
      </c>
      <c r="BE174" s="168">
        <f>IF($C174&gt;0,(IF($C174=$BE$7,(-FV(InflationRate,$BE$7,,$D174)),0)),0)</f>
        <v>0</v>
      </c>
      <c r="BF174" s="149">
        <f>IF($C174&gt;0,(IF($BE$7&gt;=$C174+1, (-FV(InflationRate,$BE$7,,$E174)), 0)),0)</f>
        <v>0</v>
      </c>
      <c r="BG174" s="149">
        <f>IF($C174&gt;0,(IF($BE$7&gt;=$C174+1, (-FV(InflationRate,$BE$7,,$F174)), 0)),0)</f>
        <v>675188.45337959926</v>
      </c>
      <c r="BH174" s="171">
        <f>IF($C174&gt;0,(IF($BE$7&gt;=$C174+1, (-FV(InflationRate,$BE$7,,$G174)), 0)),0)</f>
        <v>0</v>
      </c>
      <c r="BI174" s="160">
        <f>IF($C174&gt;0,(IF($C174=$BI$7,(-FV(InflationRate,$BI$7,,$D174)),0)),0)</f>
        <v>0</v>
      </c>
      <c r="BJ174" s="150">
        <f>IF($C174&gt;0,(IF($BI$7&gt;=$C174+1, (-FV(InflationRate,$BI$7,,$E174)), 0)),0)</f>
        <v>0</v>
      </c>
      <c r="BK174" s="150">
        <f>IF($C174&gt;0,(IF($BI$7&gt;=$C174+1, (-FV(InflationRate,$BI$7,,$F174)), 0)),0)</f>
        <v>695444.10698098724</v>
      </c>
      <c r="BL174" s="176">
        <f>IF($C174&gt;0,(IF($BI$7&gt;=$C174+1, (-FV(InflationRate,$BI$7,,$G174)), 0)),0)</f>
        <v>0</v>
      </c>
      <c r="BM174" s="168">
        <f>IF($C174&gt;0,(IF($C174=$BM$7,(-FV(InflationRate,$BM$7,,$D174)),0)),0)</f>
        <v>0</v>
      </c>
      <c r="BN174" s="149">
        <f>IF($C174&gt;0,(IF($BM$7&gt;=$C174+1, (-FV(InflationRate,$BM$7,,$E174)), 0)),0)</f>
        <v>0</v>
      </c>
      <c r="BO174" s="149">
        <f>IF($C174&gt;0,(IF($BM$7&gt;=$C174+1, (-FV(InflationRate,$BM$7,,$F174)), 0)),0)</f>
        <v>716307.43019041687</v>
      </c>
      <c r="BP174" s="157">
        <f>IF($C174&gt;0,(IF($BM$7&gt;=$C174+1, (-FV(InflationRate,$BM$7,,$G174)), 0)),0)</f>
        <v>0</v>
      </c>
      <c r="BQ174" s="160">
        <f>IF($C174&gt;0,(IF($C174=$BQ$7,(-FV(InflationRate,$BQ$7,,$D174)),0)),0)</f>
        <v>0</v>
      </c>
      <c r="BR174" s="150">
        <f>IF($C174&gt;0,(IF($BQ$7&gt;=$C174+1, (-FV(InflationRate,$BQ$7,,$E174)), 0)),0)</f>
        <v>0</v>
      </c>
      <c r="BS174" s="150">
        <f>IF($C174&gt;0,(IF($BQ$7&gt;=$C174+1, (-FV(InflationRate,$BQ$7,,$F174)), 0)),0)</f>
        <v>737796.65309612942</v>
      </c>
      <c r="BT174" s="176">
        <f>IF($C174&gt;0,(IF($BQ$7&gt;=$C174+1, (-FV(InflationRate,$BQ$7,,$G174)), 0)),0)</f>
        <v>0</v>
      </c>
      <c r="BU174" s="168">
        <f>IF($C174&gt;0,(IF($C174=$BU$7,(-FV(InflationRate,$BU$7,,$D174)),0)),0)</f>
        <v>0</v>
      </c>
      <c r="BV174" s="149">
        <f>IF($C174&gt;0,(IF($BU$7&gt;=$C174+1, (-FV(InflationRate,$BU$7,,$E174)), 0)),0)</f>
        <v>0</v>
      </c>
      <c r="BW174" s="149">
        <f>IF($C174&gt;0,(IF($BU$7&gt;=$C174+1, (-FV(InflationRate,$BU$7,,$F174)), 0)),0)</f>
        <v>759930.55268901319</v>
      </c>
      <c r="BX174" s="157">
        <f>IF($C174&gt;0,(IF($BU$7&gt;=$C174+1, (-FV(InflationRate,$BU$7,,$G174)), 0)),0)</f>
        <v>0</v>
      </c>
      <c r="BY174" s="160">
        <f>IF($C174&gt;0,(IF($C174=$BY$7,(-FV(InflationRate,$BY$7,,$D174)),0)),0)</f>
        <v>0</v>
      </c>
      <c r="BZ174" s="150">
        <f>IF($C174&gt;0,(IF($BY$7&gt;=$C174+1, (-FV(InflationRate,$BY$7,,$E174)), 0)),0)</f>
        <v>0</v>
      </c>
      <c r="CA174" s="150">
        <f>IF($C174&gt;0,(IF($BY$7&gt;=$C174+1, (-FV(InflationRate,$BY$7,,$F174)), 0)),0)</f>
        <v>782728.46926968358</v>
      </c>
      <c r="CB174" s="176">
        <f>IF($C174&gt;0,(IF($BY$7&gt;=$C174+1, (-FV(InflationRate,$BY$7,,$G174)), 0)),0)</f>
        <v>0</v>
      </c>
      <c r="CC174" s="168">
        <f>IF($C174&gt;0,(IF($C174=$CC$7,(-FV(InflationRate,$CC$7,,$D174)),0)),0)</f>
        <v>0</v>
      </c>
      <c r="CD174" s="149">
        <f>IF($C174&gt;0,(IF($CC$7&gt;=$C174+1, (-FV(InflationRate,$CC$7,,$E174)), 0)),0)</f>
        <v>0</v>
      </c>
      <c r="CE174" s="149">
        <f>IF($C174&gt;0,(IF($CC$7&gt;=$C174+1, (-FV(InflationRate,$CC$7,,$F174)), 0)),0)</f>
        <v>806210.32334777422</v>
      </c>
      <c r="CF174" s="157">
        <f>IF($C174&gt;0,(IF($CC$7&gt;=$C174+1, (-FV(InflationRate,$CC$7,,$G174)), 0)),0)</f>
        <v>0</v>
      </c>
      <c r="CG174" s="160">
        <f>IF($C174&gt;0,(IF($C174=$CG$7,(-FV(InflationRate,$CG$7,,$D174)),0)),0)</f>
        <v>0</v>
      </c>
      <c r="CH174" s="150">
        <f>IF($C174&gt;0,(IF($CG$7&gt;=$C174+1, (-FV(InflationRate,$CG$7,,$E174)), 0)),0)</f>
        <v>0</v>
      </c>
      <c r="CI174" s="150">
        <f>IF($C174&gt;0,(IF($CG$7&gt;=$C174+1, (-FV(InflationRate,$CG$7,,$F174)), 0)),0)</f>
        <v>830396.6330482075</v>
      </c>
      <c r="CJ174" s="176">
        <f>IF($C174&gt;0,(IF($CG$7&gt;=$C174+1, (-FV(InflationRate,$CG$7,,$G174)), 0)),0)</f>
        <v>0</v>
      </c>
      <c r="CK174" s="168">
        <f>IF($C174&gt;0,(IF($C174=$CK$7,(-FV(InflationRate,$CK$7,,$D174)),0)),0)</f>
        <v>0</v>
      </c>
      <c r="CL174" s="149">
        <f>IF($C174&gt;0,(IF($CK$7&gt;=$C174+1, (-FV(InflationRate,$CK$7,,$E174)), 0)),0)</f>
        <v>0</v>
      </c>
      <c r="CM174" s="149">
        <f>IF($C174&gt;0,(IF($CK$7&gt;=$C174+1, (-FV(InflationRate,$CK$7,,$F174)), 0)),0)</f>
        <v>855308.53203965351</v>
      </c>
      <c r="CN174" s="157">
        <f>IF($C174&gt;0,(IF($CK$7&gt;=$C174+1, (-FV(InflationRate,$CK$7,,$G174)), 0)),0)</f>
        <v>0</v>
      </c>
      <c r="CO174" s="160">
        <f>IF($C174&gt;0,(IF($C174=$CO$7,(-FV(InflationRate,$CO$7,,$D174)),0)),0)</f>
        <v>0</v>
      </c>
      <c r="CP174" s="150">
        <f>IF($C174&gt;0,(IF($CO$7&gt;=$C174+1, (-FV(InflationRate,$CO$7,,$E174)), 0)),0)</f>
        <v>0</v>
      </c>
      <c r="CQ174" s="150">
        <f>IF($C174&gt;0,(IF($CO$7&gt;=$C174+1, (-FV(InflationRate,$CO$7,,$F174)), 0)),0)</f>
        <v>880967.78800084314</v>
      </c>
      <c r="CR174" s="176">
        <f>IF($C174&gt;0,(IF($CO$7&gt;=$C174+1, (-FV(InflationRate,$CO$7,,$G174)), 0)),0)</f>
        <v>0</v>
      </c>
      <c r="CS174" s="168">
        <f>IF($C174&gt;0,(IF($C174=$CS$7,(-FV(InflationRate,$CS$7,,$D174)),0)),0)</f>
        <v>0</v>
      </c>
      <c r="CT174" s="149">
        <f>IF($C174&gt;0,(IF($CS$7&gt;=$C174+1, (-FV(InflationRate,$CS$7,,$E174)), 0)),0)</f>
        <v>0</v>
      </c>
      <c r="CU174" s="149">
        <f>IF($C174&gt;0,(IF($CS$7&gt;=$C174+1, (-FV(InflationRate,$CS$7,,$F174)), 0)),0)</f>
        <v>907396.82164086844</v>
      </c>
      <c r="CV174" s="157">
        <f>IF($C174&gt;0,(IF($CS$7&gt;=$C174+1, (-FV(InflationRate,$CS$7,,$G174)), 0)),0)</f>
        <v>0</v>
      </c>
      <c r="CW174" s="160">
        <f>IF($C174&gt;0,(IF($C174=$CW$7,(-FV(InflationRate,$CW$7,,$D174)),0)),0)</f>
        <v>0</v>
      </c>
      <c r="CX174" s="150">
        <f>IF($C174&gt;0,(IF($CW$7&gt;=$C174+1, (-FV(InflationRate,$CW$7,,$E174)), 0)),0)</f>
        <v>0</v>
      </c>
      <c r="CY174" s="150">
        <f>IF($C174&gt;0,(IF($CW$7&gt;=$C174+1, (-FV(InflationRate,$CW$7,,$F174)), 0)),0)</f>
        <v>934618.72629009443</v>
      </c>
      <c r="CZ174" s="176">
        <f>IF($C174&gt;0,(IF($CW$7&gt;=$C174+1, (-FV(InflationRate,$CW$7,,$G174)), 0)),0)</f>
        <v>0</v>
      </c>
      <c r="DA174" s="168">
        <f>IF($C174&gt;0,(IF($C174=$DA$7,(-FV(InflationRate,$DA$7,,$D174)),0)),0)</f>
        <v>0</v>
      </c>
      <c r="DB174" s="149">
        <f>IF($C174&gt;0,(IF($DA$7&gt;=$C174+1, (-FV(InflationRate,$DA$7,,$E174)), 0)),0)</f>
        <v>0</v>
      </c>
      <c r="DC174" s="149">
        <f>IF($C174&gt;0,(IF($DA$7&gt;=$C174+1, (-FV(InflationRate,$DA$7,,$F174)), 0)),0)</f>
        <v>962657.28807879728</v>
      </c>
      <c r="DD174" s="157">
        <f>IF($C174&gt;0,(IF($DA$7&gt;=$C174+1, (-FV(InflationRate,$DA$7,,$G174)), 0)),0)</f>
        <v>0</v>
      </c>
    </row>
    <row r="175" spans="2:108" x14ac:dyDescent="0.2">
      <c r="B175" s="182"/>
      <c r="C175" s="189"/>
      <c r="D175" s="168"/>
      <c r="E175" s="149"/>
      <c r="F175" s="149"/>
      <c r="G175" s="149"/>
      <c r="H175" s="168"/>
      <c r="I175" s="600"/>
      <c r="J175" s="600"/>
      <c r="K175" s="600"/>
      <c r="L175" s="600"/>
      <c r="M175" s="600"/>
      <c r="N175" s="600"/>
      <c r="O175" s="600"/>
      <c r="P175" s="600"/>
      <c r="Q175" s="600"/>
      <c r="R175" s="600"/>
      <c r="S175" s="600"/>
      <c r="T175" s="600"/>
      <c r="U175" s="600"/>
      <c r="V175" s="600"/>
      <c r="W175" s="600"/>
      <c r="X175" s="600"/>
      <c r="Y175" s="600"/>
      <c r="Z175" s="600"/>
      <c r="AA175" s="600"/>
      <c r="AB175" s="601"/>
      <c r="AC175" s="160"/>
      <c r="AD175" s="150"/>
      <c r="AE175" s="150"/>
      <c r="AF175" s="165"/>
      <c r="AG175" s="168"/>
      <c r="AH175" s="149"/>
      <c r="AI175" s="149"/>
      <c r="AJ175" s="171"/>
      <c r="AK175" s="160"/>
      <c r="AL175" s="150"/>
      <c r="AM175" s="150"/>
      <c r="AN175" s="165"/>
      <c r="AO175" s="168"/>
      <c r="AP175" s="149"/>
      <c r="AQ175" s="149"/>
      <c r="AR175" s="157"/>
      <c r="AS175" s="160"/>
      <c r="AT175" s="150"/>
      <c r="AU175" s="150"/>
      <c r="AV175" s="165"/>
      <c r="AW175" s="168"/>
      <c r="AX175" s="149"/>
      <c r="AY175" s="149"/>
      <c r="AZ175" s="157"/>
      <c r="BA175" s="160"/>
      <c r="BB175" s="150"/>
      <c r="BC175" s="150"/>
      <c r="BD175" s="176"/>
      <c r="BE175" s="168"/>
      <c r="BF175" s="149"/>
      <c r="BG175" s="149"/>
      <c r="BH175" s="171"/>
      <c r="BI175" s="160"/>
      <c r="BJ175" s="150"/>
      <c r="BK175" s="150"/>
      <c r="BL175" s="176"/>
      <c r="BM175" s="168"/>
      <c r="BN175" s="149"/>
      <c r="BO175" s="149"/>
      <c r="BP175" s="157"/>
      <c r="BQ175" s="160"/>
      <c r="BR175" s="150"/>
      <c r="BS175" s="150"/>
      <c r="BT175" s="176"/>
      <c r="BU175" s="168"/>
      <c r="BV175" s="149"/>
      <c r="BW175" s="149"/>
      <c r="BX175" s="157"/>
      <c r="BY175" s="160"/>
      <c r="BZ175" s="150"/>
      <c r="CA175" s="150"/>
      <c r="CB175" s="176"/>
      <c r="CC175" s="168"/>
      <c r="CD175" s="149"/>
      <c r="CE175" s="149"/>
      <c r="CF175" s="157"/>
      <c r="CG175" s="160"/>
      <c r="CH175" s="150"/>
      <c r="CI175" s="150"/>
      <c r="CJ175" s="176"/>
      <c r="CK175" s="168"/>
      <c r="CL175" s="149"/>
      <c r="CM175" s="149"/>
      <c r="CN175" s="157"/>
      <c r="CO175" s="160"/>
      <c r="CP175" s="150"/>
      <c r="CQ175" s="150"/>
      <c r="CR175" s="176"/>
      <c r="CS175" s="168"/>
      <c r="CT175" s="149"/>
      <c r="CU175" s="149"/>
      <c r="CV175" s="157"/>
      <c r="CW175" s="160"/>
      <c r="CX175" s="150"/>
      <c r="CY175" s="150"/>
      <c r="CZ175" s="176"/>
      <c r="DA175" s="168"/>
      <c r="DB175" s="149"/>
      <c r="DC175" s="149"/>
      <c r="DD175" s="157"/>
    </row>
    <row r="176" spans="2:108" ht="24" x14ac:dyDescent="0.2">
      <c r="B176" s="182" t="str">
        <f>'Aqua - D4'!B5</f>
        <v>Aquaculture/Shellfish Propagation - Demonstration 4 - Quahog Inventory</v>
      </c>
      <c r="C176" s="189"/>
      <c r="D176" s="194">
        <f>'Aqua - D4'!F34</f>
        <v>50800</v>
      </c>
      <c r="E176" s="195">
        <f>'Aqua - D4'!F63</f>
        <v>0</v>
      </c>
      <c r="F176" s="195">
        <f>'Aqua - D4'!F94</f>
        <v>0</v>
      </c>
      <c r="G176" s="195">
        <f>'Aqua - D4'!F123</f>
        <v>0</v>
      </c>
      <c r="H176" s="168"/>
      <c r="I176" s="600"/>
      <c r="J176" s="600"/>
      <c r="K176" s="600"/>
      <c r="L176" s="600"/>
      <c r="M176" s="600"/>
      <c r="N176" s="600"/>
      <c r="O176" s="600"/>
      <c r="P176" s="600"/>
      <c r="Q176" s="600"/>
      <c r="R176" s="600"/>
      <c r="S176" s="600"/>
      <c r="T176" s="600"/>
      <c r="U176" s="600"/>
      <c r="V176" s="600"/>
      <c r="W176" s="600"/>
      <c r="X176" s="600"/>
      <c r="Y176" s="600"/>
      <c r="Z176" s="600"/>
      <c r="AA176" s="600"/>
      <c r="AB176" s="601"/>
      <c r="AC176" s="160"/>
      <c r="AD176" s="150"/>
      <c r="AE176" s="150"/>
      <c r="AF176" s="165"/>
      <c r="AG176" s="168"/>
      <c r="AH176" s="149"/>
      <c r="AI176" s="149"/>
      <c r="AJ176" s="171"/>
      <c r="AK176" s="160"/>
      <c r="AL176" s="150"/>
      <c r="AM176" s="150"/>
      <c r="AN176" s="165"/>
      <c r="AO176" s="168"/>
      <c r="AP176" s="149"/>
      <c r="AQ176" s="149"/>
      <c r="AR176" s="157"/>
      <c r="AS176" s="160"/>
      <c r="AT176" s="150"/>
      <c r="AU176" s="150"/>
      <c r="AV176" s="165"/>
      <c r="AW176" s="168"/>
      <c r="AX176" s="149"/>
      <c r="AY176" s="149"/>
      <c r="AZ176" s="157"/>
      <c r="BA176" s="160"/>
      <c r="BB176" s="150"/>
      <c r="BC176" s="150"/>
      <c r="BD176" s="176"/>
      <c r="BE176" s="168"/>
      <c r="BF176" s="149"/>
      <c r="BG176" s="149"/>
      <c r="BH176" s="171"/>
      <c r="BI176" s="160"/>
      <c r="BJ176" s="150"/>
      <c r="BK176" s="150"/>
      <c r="BL176" s="176"/>
      <c r="BM176" s="168"/>
      <c r="BN176" s="149"/>
      <c r="BO176" s="149"/>
      <c r="BP176" s="157"/>
      <c r="BQ176" s="160"/>
      <c r="BR176" s="150"/>
      <c r="BS176" s="150"/>
      <c r="BT176" s="176"/>
      <c r="BU176" s="168"/>
      <c r="BV176" s="149"/>
      <c r="BW176" s="149"/>
      <c r="BX176" s="157"/>
      <c r="BY176" s="160"/>
      <c r="BZ176" s="150"/>
      <c r="CA176" s="150"/>
      <c r="CB176" s="176"/>
      <c r="CC176" s="168"/>
      <c r="CD176" s="149"/>
      <c r="CE176" s="149"/>
      <c r="CF176" s="157"/>
      <c r="CG176" s="160"/>
      <c r="CH176" s="150"/>
      <c r="CI176" s="150"/>
      <c r="CJ176" s="176"/>
      <c r="CK176" s="168"/>
      <c r="CL176" s="149"/>
      <c r="CM176" s="149"/>
      <c r="CN176" s="157"/>
      <c r="CO176" s="160"/>
      <c r="CP176" s="150"/>
      <c r="CQ176" s="150"/>
      <c r="CR176" s="176"/>
      <c r="CS176" s="168"/>
      <c r="CT176" s="149"/>
      <c r="CU176" s="149"/>
      <c r="CV176" s="157"/>
      <c r="CW176" s="160"/>
      <c r="CX176" s="150"/>
      <c r="CY176" s="150"/>
      <c r="CZ176" s="176"/>
      <c r="DA176" s="168"/>
      <c r="DB176" s="149"/>
      <c r="DC176" s="149"/>
      <c r="DD176" s="157"/>
    </row>
    <row r="177" spans="2:108" x14ac:dyDescent="0.2">
      <c r="B177" s="183" t="s">
        <v>220</v>
      </c>
      <c r="C177" s="556">
        <v>1</v>
      </c>
      <c r="D177" s="168">
        <f>'Aqua - D4'!F31+'Aqua - D4'!F32</f>
        <v>5700</v>
      </c>
      <c r="E177" s="149"/>
      <c r="F177" s="149"/>
      <c r="G177" s="149"/>
      <c r="H177" s="168">
        <f>SUM(I177:AB177)</f>
        <v>5615.7635467980299</v>
      </c>
      <c r="I177" s="610">
        <f>-PV(InterestRate,I$8,,(SUM(AC177:AF177)))</f>
        <v>5615.7635467980299</v>
      </c>
      <c r="J177" s="610">
        <f>-PV(InterestRate,J$8,,(SUM(AG177:AJ177)))</f>
        <v>0</v>
      </c>
      <c r="K177" s="610">
        <f>-PV(InterestRate,K$8,,(SUM(AK177:AN177)))</f>
        <v>0</v>
      </c>
      <c r="L177" s="610">
        <f>-PV(InterestRate,L$8,,(SUM(AO177:AR177)))</f>
        <v>0</v>
      </c>
      <c r="M177" s="610">
        <f>-PV(InterestRate,M$8,,(SUM(AS177:AV177)))</f>
        <v>0</v>
      </c>
      <c r="N177" s="610">
        <f>-PV(InterestRate,N$8,,(SUM(AW177:AZ177)))</f>
        <v>0</v>
      </c>
      <c r="O177" s="610">
        <f>-PV(InterestRate,O$8,,(SUM(BA177:BD177)))</f>
        <v>0</v>
      </c>
      <c r="P177" s="610">
        <f>-PV(InterestRate,P$8,,(SUM(BE177:BH177)))</f>
        <v>0</v>
      </c>
      <c r="Q177" s="610">
        <f>-PV(InterestRate,Q$8,,(SUM(BI177:BL177)))</f>
        <v>0</v>
      </c>
      <c r="R177" s="610">
        <f>-PV(InterestRate,R$8,,(SUM(BM177:BP177)))</f>
        <v>0</v>
      </c>
      <c r="S177" s="610">
        <f>-PV(InterestRate,S$8,,(SUM(BQ177:BT177)))</f>
        <v>0</v>
      </c>
      <c r="T177" s="610">
        <f>-PV(InterestRate,T$8,,(SUM(BU177:BX177)))</f>
        <v>0</v>
      </c>
      <c r="U177" s="610">
        <f>-PV(InterestRate,U$8,,(SUM(BY177:CB177)))</f>
        <v>0</v>
      </c>
      <c r="V177" s="610">
        <f>-PV(InterestRate,V$8,,(SUM(CC177:CF177)))</f>
        <v>0</v>
      </c>
      <c r="W177" s="610">
        <f>-PV(InterestRate,W$8,,(SUM(CG177:CJ177)))</f>
        <v>0</v>
      </c>
      <c r="X177" s="610">
        <f>-PV(InterestRate,X$8,,(SUM(CK177:CN177)))</f>
        <v>0</v>
      </c>
      <c r="Y177" s="610">
        <f>-PV(InterestRate,Y$8,,(SUM(CO177:CR177)))</f>
        <v>0</v>
      </c>
      <c r="Z177" s="610">
        <f>-PV(InterestRate,Z$8,,(SUM(CS177:CV177)))</f>
        <v>0</v>
      </c>
      <c r="AA177" s="610">
        <f>-PV(InterestRate,AA$8,,(SUM(CW177:CZ177)))</f>
        <v>0</v>
      </c>
      <c r="AB177" s="611">
        <f>-PV(InterestRate,AB$8,,(SUM(DA177:DD177)))</f>
        <v>0</v>
      </c>
      <c r="AC177" s="160">
        <f>IF($C177&gt;0,(IF($C177=$AC$7,$D177,0)),0)</f>
        <v>5700</v>
      </c>
      <c r="AD177" s="150">
        <f>IF($C177&gt;0,(IF($AC$7&gt;=$C177+1,$E177,0)),0)</f>
        <v>0</v>
      </c>
      <c r="AE177" s="150">
        <f>IF($C177&gt;0,(IF($C177=$AC$7,$F177,0)),0)</f>
        <v>0</v>
      </c>
      <c r="AF177" s="165">
        <f>IF($C177&gt;0,(IF($AC$7&gt;=$C177+1,$G177,0)),0)</f>
        <v>0</v>
      </c>
      <c r="AG177" s="168"/>
      <c r="AH177" s="149"/>
      <c r="AI177" s="149"/>
      <c r="AJ177" s="171"/>
      <c r="AK177" s="160"/>
      <c r="AL177" s="150"/>
      <c r="AM177" s="150"/>
      <c r="AN177" s="165"/>
      <c r="AO177" s="168">
        <f>IF($C177&gt;0,(IF($C177=$AO$7,(-FV(InflationRate,$AO$7,,$D177)),0)),0)</f>
        <v>0</v>
      </c>
      <c r="AP177" s="149">
        <f>IF($C177&gt;0,(IF($AO$7&gt;=$C177+1, (-FV(InflationRate,$AO$7,,$E177)), 0)),0)</f>
        <v>0</v>
      </c>
      <c r="AQ177" s="149">
        <f>IF($C177&gt;0,(IF($AO$7&gt;=$C177+1, (-FV(InflationRate,$AO$7,,$F177)), 0)),0)</f>
        <v>0</v>
      </c>
      <c r="AR177" s="157">
        <f>IF($C177&gt;0,(IF($AO$7&gt;=$C177+1, (-FV(InflationRate,$AO$7,,$G177)), 0)),0)</f>
        <v>0</v>
      </c>
      <c r="AS177" s="160">
        <f>IF($C177&gt;0,(IF($C177=$AS$7,(-FV(InflationRate,$AS$7,,$D177)),0)),0)</f>
        <v>0</v>
      </c>
      <c r="AT177" s="150">
        <f>IF($C177&gt;0,(IF($AS$7&gt;=$C177+1, (-FV(InflationRate,$AS$7,,$E177)), 0)),0)</f>
        <v>0</v>
      </c>
      <c r="AU177" s="150">
        <f>IF($C177&gt;0,(IF($AS$7&gt;=$C177+1, (-FV(InflationRate,$AS$7,,$F177)), 0)),0)</f>
        <v>0</v>
      </c>
      <c r="AV177" s="165">
        <f>IF($C177&gt;0,(IF($AS$7&gt;=$C177+1, (-FV(InflationRate,$AS$7,,$G177)), 0)),0)</f>
        <v>0</v>
      </c>
      <c r="AW177" s="168">
        <f>IF($C177&gt;0,(IF($C177=$AW$7,(-FV(InflationRate,$AW$7,,$D177)),0)),0)</f>
        <v>0</v>
      </c>
      <c r="AX177" s="149">
        <f>IF($C177&gt;0,(IF($AW$7&gt;=$C177+1, (-FV(InflationRate,$AW$7,,$E177)), 0)),0)</f>
        <v>0</v>
      </c>
      <c r="AY177" s="149">
        <f>IF($C177&gt;0,(IF($AW$7&gt;=$C177+1, (-FV(InflationRate,$AW$7,,$F177)), 0)),0)</f>
        <v>0</v>
      </c>
      <c r="AZ177" s="157">
        <f>IF($C177&gt;0,(IF($AW$7&gt;=$C177+1, (-FV(InflationRate,$AW$7,,$G177)), 0)),0)</f>
        <v>0</v>
      </c>
      <c r="BA177" s="160">
        <f>IF($C177&gt;0,(IF($C177=$BA$7,(-FV(InflationRate,$BA$7,,$D177)),0)),0)</f>
        <v>0</v>
      </c>
      <c r="BB177" s="150">
        <f>IF($C177&gt;0,(IF($BA$7&gt;=$C177+1, (-FV(InflationRate,$BA$7,,$E177)), 0)),0)</f>
        <v>0</v>
      </c>
      <c r="BC177" s="150">
        <f>IF($C177&gt;0,(IF($BA$7&gt;=$C177+1, (-FV(InflationRate,$BA$7,,$F177)), 0)),0)</f>
        <v>0</v>
      </c>
      <c r="BD177" s="176">
        <f>IF($C177&gt;0,(IF($BA$7&gt;=$C177+1, (-FV(InflationRate,$BA$7,,$G177)), 0)),0)</f>
        <v>0</v>
      </c>
      <c r="BE177" s="168">
        <f>IF($C177&gt;0,(IF($C177=$BE$7,(-FV(InflationRate,$BE$7,,$D177)),0)),0)</f>
        <v>0</v>
      </c>
      <c r="BF177" s="149">
        <f>IF($C177&gt;0,(IF($BE$7&gt;=$C177+1, (-FV(InflationRate,$BE$7,,$E177)), 0)),0)</f>
        <v>0</v>
      </c>
      <c r="BG177" s="149">
        <f>IF($C177&gt;0,(IF($BE$7&gt;=$C177+1, (-FV(InflationRate,$BE$7,,$F177)), 0)),0)</f>
        <v>0</v>
      </c>
      <c r="BH177" s="171">
        <f>IF($C177&gt;0,(IF($BE$7&gt;=$C177+1, (-FV(InflationRate,$BE$7,,$G177)), 0)),0)</f>
        <v>0</v>
      </c>
      <c r="BI177" s="160">
        <f>IF($C177&gt;0,(IF($C177=$BI$7,(-FV(InflationRate,$BI$7,,$D177)),0)),0)</f>
        <v>0</v>
      </c>
      <c r="BJ177" s="150">
        <f>IF($C177&gt;0,(IF($BI$7&gt;=$C177+1, (-FV(InflationRate,$BI$7,,$E177)), 0)),0)</f>
        <v>0</v>
      </c>
      <c r="BK177" s="150">
        <f>IF($C177&gt;0,(IF($BI$7&gt;=$C177+1, (-FV(InflationRate,$BI$7,,$F177)), 0)),0)</f>
        <v>0</v>
      </c>
      <c r="BL177" s="176">
        <f>IF($C177&gt;0,(IF($BI$7&gt;=$C177+1, (-FV(InflationRate,$BI$7,,$G177)), 0)),0)</f>
        <v>0</v>
      </c>
      <c r="BM177" s="168">
        <f>IF($C177&gt;0,(IF($C177=$BM$7,(-FV(InflationRate,$BM$7,,$D177)),0)),0)</f>
        <v>0</v>
      </c>
      <c r="BN177" s="149">
        <f>IF($C177&gt;0,(IF($BM$7&gt;=$C177+1, (-FV(InflationRate,$BM$7,,$E177)), 0)),0)</f>
        <v>0</v>
      </c>
      <c r="BO177" s="149">
        <f>IF($C177&gt;0,(IF($BM$7&gt;=$C177+1, (-FV(InflationRate,$BM$7,,$F177)), 0)),0)</f>
        <v>0</v>
      </c>
      <c r="BP177" s="157">
        <f>IF($C177&gt;0,(IF($BM$7&gt;=$C177+1, (-FV(InflationRate,$BM$7,,$G177)), 0)),0)</f>
        <v>0</v>
      </c>
      <c r="BQ177" s="160">
        <f>IF($C177&gt;0,(IF($C177=$BQ$7,(-FV(InflationRate,$BQ$7,,$D177)),0)),0)</f>
        <v>0</v>
      </c>
      <c r="BR177" s="150">
        <f>IF($C177&gt;0,(IF($BQ$7&gt;=$C177+1, (-FV(InflationRate,$BQ$7,,$E177)), 0)),0)</f>
        <v>0</v>
      </c>
      <c r="BS177" s="150">
        <f>IF($C177&gt;0,(IF($BQ$7&gt;=$C177+1, (-FV(InflationRate,$BQ$7,,$F177)), 0)),0)</f>
        <v>0</v>
      </c>
      <c r="BT177" s="176">
        <f>IF($C177&gt;0,(IF($BQ$7&gt;=$C177+1, (-FV(InflationRate,$BQ$7,,$G177)), 0)),0)</f>
        <v>0</v>
      </c>
      <c r="BU177" s="168">
        <f>IF($C177&gt;0,(IF($C177=$BU$7,(-FV(InflationRate,$BU$7,,$D177)),0)),0)</f>
        <v>0</v>
      </c>
      <c r="BV177" s="149">
        <f>IF($C177&gt;0,(IF($BU$7&gt;=$C177+1, (-FV(InflationRate,$BU$7,,$E177)), 0)),0)</f>
        <v>0</v>
      </c>
      <c r="BW177" s="149">
        <f>IF($C177&gt;0,(IF($BU$7&gt;=$C177+1, (-FV(InflationRate,$BU$7,,$F177)), 0)),0)</f>
        <v>0</v>
      </c>
      <c r="BX177" s="157">
        <f>IF($C177&gt;0,(IF($BU$7&gt;=$C177+1, (-FV(InflationRate,$BU$7,,$G177)), 0)),0)</f>
        <v>0</v>
      </c>
      <c r="BY177" s="160">
        <f>IF($C177&gt;0,(IF($C177=$BY$7,(-FV(InflationRate,$BY$7,,$D177)),0)),0)</f>
        <v>0</v>
      </c>
      <c r="BZ177" s="150">
        <f>IF($C177&gt;0,(IF($BY$7&gt;=$C177+1, (-FV(InflationRate,$BY$7,,$E177)), 0)),0)</f>
        <v>0</v>
      </c>
      <c r="CA177" s="150">
        <f>IF($C177&gt;0,(IF($BY$7&gt;=$C177+1, (-FV(InflationRate,$BY$7,,$F177)), 0)),0)</f>
        <v>0</v>
      </c>
      <c r="CB177" s="176">
        <f>IF($C177&gt;0,(IF($BY$7&gt;=$C177+1, (-FV(InflationRate,$BY$7,,$G177)), 0)),0)</f>
        <v>0</v>
      </c>
      <c r="CC177" s="168">
        <f>IF($C177&gt;0,(IF($C177=$CC$7,(-FV(InflationRate,$CC$7,,$D177)),0)),0)</f>
        <v>0</v>
      </c>
      <c r="CD177" s="149">
        <f>IF($C177&gt;0,(IF($CC$7&gt;=$C177+1, (-FV(InflationRate,$CC$7,,$E177)), 0)),0)</f>
        <v>0</v>
      </c>
      <c r="CE177" s="149">
        <f>IF($C177&gt;0,(IF($CC$7&gt;=$C177+1, (-FV(InflationRate,$CC$7,,$F177)), 0)),0)</f>
        <v>0</v>
      </c>
      <c r="CF177" s="157">
        <f>IF($C177&gt;0,(IF($CC$7&gt;=$C177+1, (-FV(InflationRate,$CC$7,,$G177)), 0)),0)</f>
        <v>0</v>
      </c>
      <c r="CG177" s="160">
        <f>IF($C177&gt;0,(IF($C177=$CG$7,(-FV(InflationRate,$CG$7,,$D177)),0)),0)</f>
        <v>0</v>
      </c>
      <c r="CH177" s="150">
        <f>IF($C177&gt;0,(IF($CG$7&gt;=$C177+1, (-FV(InflationRate,$CG$7,,$E177)), 0)),0)</f>
        <v>0</v>
      </c>
      <c r="CI177" s="150">
        <f>IF($C177&gt;0,(IF($CG$7&gt;=$C177+1, (-FV(InflationRate,$CG$7,,$F177)), 0)),0)</f>
        <v>0</v>
      </c>
      <c r="CJ177" s="176">
        <f>IF($C177&gt;0,(IF($CG$7&gt;=$C177+1, (-FV(InflationRate,$CG$7,,$G177)), 0)),0)</f>
        <v>0</v>
      </c>
      <c r="CK177" s="168">
        <f>IF($C177&gt;0,(IF($C177=$CK$7,(-FV(InflationRate,$CK$7,,$D177)),0)),0)</f>
        <v>0</v>
      </c>
      <c r="CL177" s="149">
        <f>IF($C177&gt;0,(IF($CK$7&gt;=$C177+1, (-FV(InflationRate,$CK$7,,$E177)), 0)),0)</f>
        <v>0</v>
      </c>
      <c r="CM177" s="149">
        <f>IF($C177&gt;0,(IF($CK$7&gt;=$C177+1, (-FV(InflationRate,$CK$7,,$F177)), 0)),0)</f>
        <v>0</v>
      </c>
      <c r="CN177" s="157">
        <f>IF($C177&gt;0,(IF($CK$7&gt;=$C177+1, (-FV(InflationRate,$CK$7,,$G177)), 0)),0)</f>
        <v>0</v>
      </c>
      <c r="CO177" s="160">
        <f>IF($C177&gt;0,(IF($C177=$CO$7,(-FV(InflationRate,$CO$7,,$D177)),0)),0)</f>
        <v>0</v>
      </c>
      <c r="CP177" s="150">
        <f>IF($C177&gt;0,(IF($CO$7&gt;=$C177+1, (-FV(InflationRate,$CO$7,,$E177)), 0)),0)</f>
        <v>0</v>
      </c>
      <c r="CQ177" s="150">
        <f>IF($C177&gt;0,(IF($CO$7&gt;=$C177+1, (-FV(InflationRate,$CO$7,,$F177)), 0)),0)</f>
        <v>0</v>
      </c>
      <c r="CR177" s="176">
        <f>IF($C177&gt;0,(IF($CO$7&gt;=$C177+1, (-FV(InflationRate,$CO$7,,$G177)), 0)),0)</f>
        <v>0</v>
      </c>
      <c r="CS177" s="168">
        <f>IF($C177&gt;0,(IF($C177=$CS$7,(-FV(InflationRate,$CS$7,,$D177)),0)),0)</f>
        <v>0</v>
      </c>
      <c r="CT177" s="149">
        <f>IF($C177&gt;0,(IF($CS$7&gt;=$C177+1, (-FV(InflationRate,$CS$7,,$E177)), 0)),0)</f>
        <v>0</v>
      </c>
      <c r="CU177" s="149">
        <f>IF($C177&gt;0,(IF($CS$7&gt;=$C177+1, (-FV(InflationRate,$CS$7,,$F177)), 0)),0)</f>
        <v>0</v>
      </c>
      <c r="CV177" s="157">
        <f>IF($C177&gt;0,(IF($CS$7&gt;=$C177+1, (-FV(InflationRate,$CS$7,,$G177)), 0)),0)</f>
        <v>0</v>
      </c>
      <c r="CW177" s="160">
        <f>IF($C177&gt;0,(IF($C177=$CW$7,(-FV(InflationRate,$CW$7,,$D177)),0)),0)</f>
        <v>0</v>
      </c>
      <c r="CX177" s="150">
        <f>IF($C177&gt;0,(IF($CW$7&gt;=$C177+1, (-FV(InflationRate,$CW$7,,$E177)), 0)),0)</f>
        <v>0</v>
      </c>
      <c r="CY177" s="150">
        <f>IF($C177&gt;0,(IF($CW$7&gt;=$C177+1, (-FV(InflationRate,$CW$7,,$F177)), 0)),0)</f>
        <v>0</v>
      </c>
      <c r="CZ177" s="176">
        <f>IF($C177&gt;0,(IF($CW$7&gt;=$C177+1, (-FV(InflationRate,$CW$7,,$G177)), 0)),0)</f>
        <v>0</v>
      </c>
      <c r="DA177" s="168">
        <f>IF($C177&gt;0,(IF($C177=$DA$7,(-FV(InflationRate,$DA$7,,$D177)),0)),0)</f>
        <v>0</v>
      </c>
      <c r="DB177" s="149">
        <f>IF($C177&gt;0,(IF($DA$7&gt;=$C177+1, (-FV(InflationRate,$DA$7,,$E177)), 0)),0)</f>
        <v>0</v>
      </c>
      <c r="DC177" s="149">
        <f>IF($C177&gt;0,(IF($DA$7&gt;=$C177+1, (-FV(InflationRate,$DA$7,,$F177)), 0)),0)</f>
        <v>0</v>
      </c>
      <c r="DD177" s="157">
        <f>IF($C177&gt;0,(IF($DA$7&gt;=$C177+1, (-FV(InflationRate,$DA$7,,$G177)), 0)),0)</f>
        <v>0</v>
      </c>
    </row>
    <row r="178" spans="2:108" x14ac:dyDescent="0.2">
      <c r="B178" s="183" t="s">
        <v>270</v>
      </c>
      <c r="C178" s="556">
        <v>1</v>
      </c>
      <c r="D178" s="168">
        <f>D176-D177</f>
        <v>45100</v>
      </c>
      <c r="E178" s="149">
        <f>E176</f>
        <v>0</v>
      </c>
      <c r="F178" s="149"/>
      <c r="G178" s="149">
        <f>G176</f>
        <v>0</v>
      </c>
      <c r="H178" s="168">
        <f>SUM(I178:AB178)</f>
        <v>44433.497536945819</v>
      </c>
      <c r="I178" s="610">
        <f>-PV(InterestRate,I$8,,(SUM(AC178:AF178)))</f>
        <v>44433.497536945819</v>
      </c>
      <c r="J178" s="610">
        <f>-PV(InterestRate,J$8,,(SUM(AG178:AJ178)))</f>
        <v>0</v>
      </c>
      <c r="K178" s="610">
        <f>-PV(InterestRate,K$8,,(SUM(AK178:AN178)))</f>
        <v>0</v>
      </c>
      <c r="L178" s="610">
        <f>-PV(InterestRate,L$8,,(SUM(AO178:AR178)))</f>
        <v>0</v>
      </c>
      <c r="M178" s="610">
        <f>-PV(InterestRate,M$8,,(SUM(AS178:AV178)))</f>
        <v>0</v>
      </c>
      <c r="N178" s="610">
        <f>-PV(InterestRate,N$8,,(SUM(AW178:AZ178)))</f>
        <v>0</v>
      </c>
      <c r="O178" s="610">
        <f>-PV(InterestRate,O$8,,(SUM(BA178:BD178)))</f>
        <v>0</v>
      </c>
      <c r="P178" s="610">
        <f>-PV(InterestRate,P$8,,(SUM(BE178:BH178)))</f>
        <v>0</v>
      </c>
      <c r="Q178" s="610">
        <f>-PV(InterestRate,Q$8,,(SUM(BI178:BL178)))</f>
        <v>0</v>
      </c>
      <c r="R178" s="610">
        <f>-PV(InterestRate,R$8,,(SUM(BM178:BP178)))</f>
        <v>0</v>
      </c>
      <c r="S178" s="610">
        <f>-PV(InterestRate,S$8,,(SUM(BQ178:BT178)))</f>
        <v>0</v>
      </c>
      <c r="T178" s="610">
        <f>-PV(InterestRate,T$8,,(SUM(BU178:BX178)))</f>
        <v>0</v>
      </c>
      <c r="U178" s="610">
        <f>-PV(InterestRate,U$8,,(SUM(BY178:CB178)))</f>
        <v>0</v>
      </c>
      <c r="V178" s="610">
        <f>-PV(InterestRate,V$8,,(SUM(CC178:CF178)))</f>
        <v>0</v>
      </c>
      <c r="W178" s="610">
        <f>-PV(InterestRate,W$8,,(SUM(CG178:CJ178)))</f>
        <v>0</v>
      </c>
      <c r="X178" s="610">
        <f>-PV(InterestRate,X$8,,(SUM(CK178:CN178)))</f>
        <v>0</v>
      </c>
      <c r="Y178" s="610">
        <f>-PV(InterestRate,Y$8,,(SUM(CO178:CR178)))</f>
        <v>0</v>
      </c>
      <c r="Z178" s="610">
        <f>-PV(InterestRate,Z$8,,(SUM(CS178:CV178)))</f>
        <v>0</v>
      </c>
      <c r="AA178" s="610">
        <f>-PV(InterestRate,AA$8,,(SUM(CW178:CZ178)))</f>
        <v>0</v>
      </c>
      <c r="AB178" s="611">
        <f>-PV(InterestRate,AB$8,,(SUM(DA178:DD178)))</f>
        <v>0</v>
      </c>
      <c r="AC178" s="160">
        <f>IF($C178&gt;0,(IF($C178=$AC$7,$D178,0)),0)</f>
        <v>45100</v>
      </c>
      <c r="AD178" s="150">
        <f>IF($C178&gt;0,(IF($AC$7&gt;=$C178+1,$E178,0)),0)</f>
        <v>0</v>
      </c>
      <c r="AE178" s="150">
        <f>IF($C178&gt;0,(IF($C178=$AC$7,$F178,0)),0)</f>
        <v>0</v>
      </c>
      <c r="AF178" s="165">
        <f>IF($C178&gt;0,(IF($AC$7&gt;=$C178+1,$G178,0)),0)</f>
        <v>0</v>
      </c>
      <c r="AG178" s="168"/>
      <c r="AH178" s="149"/>
      <c r="AI178" s="149"/>
      <c r="AJ178" s="171"/>
      <c r="AK178" s="160"/>
      <c r="AL178" s="150"/>
      <c r="AM178" s="150"/>
      <c r="AN178" s="165"/>
      <c r="AO178" s="168">
        <f>IF($C178&gt;0,(IF($C178=$AO$7,(-FV(InflationRate,$AO$7,,$D178)),0)),0)</f>
        <v>0</v>
      </c>
      <c r="AP178" s="149">
        <f>IF($C178&gt;0,(IF($AO$7&gt;=$C178+1, (-FV(InflationRate,$AO$7,,$E178)), 0)),0)</f>
        <v>0</v>
      </c>
      <c r="AQ178" s="149">
        <f>IF($C178&gt;0,(IF($AO$7&gt;=$C178+1, (-FV(InflationRate,$AO$7,,$F178)), 0)),0)</f>
        <v>0</v>
      </c>
      <c r="AR178" s="157">
        <f>IF($C178&gt;0,(IF($AO$7&gt;=$C178+1, (-FV(InflationRate,$AO$7,,$G178)), 0)),0)</f>
        <v>0</v>
      </c>
      <c r="AS178" s="160">
        <f>IF($C178&gt;0,(IF($C178=$AS$7,(-FV(InflationRate,$AS$7,,$D178)),0)),0)</f>
        <v>0</v>
      </c>
      <c r="AT178" s="150">
        <f>IF($C178&gt;0,(IF($AS$7&gt;=$C178+1, (-FV(InflationRate,$AS$7,,$E178)), 0)),0)</f>
        <v>0</v>
      </c>
      <c r="AU178" s="150">
        <f>IF($C178&gt;0,(IF($AS$7&gt;=$C178+1, (-FV(InflationRate,$AS$7,,$F178)), 0)),0)</f>
        <v>0</v>
      </c>
      <c r="AV178" s="165">
        <f>IF($C178&gt;0,(IF($AS$7&gt;=$C178+1, (-FV(InflationRate,$AS$7,,$G178)), 0)),0)</f>
        <v>0</v>
      </c>
      <c r="AW178" s="168">
        <f>IF($C178&gt;0,(IF($C178=$AW$7,(-FV(InflationRate,$AW$7,,$D178)),0)),0)</f>
        <v>0</v>
      </c>
      <c r="AX178" s="149">
        <f>IF($C178&gt;0,(IF($AW$7&gt;=$C178+1, (-FV(InflationRate,$AW$7,,$E178)), 0)),0)</f>
        <v>0</v>
      </c>
      <c r="AY178" s="149">
        <f>IF($C178&gt;0,(IF($AW$7&gt;=$C178+1, (-FV(InflationRate,$AW$7,,$F178)), 0)),0)</f>
        <v>0</v>
      </c>
      <c r="AZ178" s="157">
        <f>IF($C178&gt;0,(IF($AW$7&gt;=$C178+1, (-FV(InflationRate,$AW$7,,$G178)), 0)),0)</f>
        <v>0</v>
      </c>
      <c r="BA178" s="160">
        <f>IF($C178&gt;0,(IF($C178=$BA$7,(-FV(InflationRate,$BA$7,,$D178)),0)),0)</f>
        <v>0</v>
      </c>
      <c r="BB178" s="150">
        <f>IF($C178&gt;0,(IF($BA$7&gt;=$C178+1, (-FV(InflationRate,$BA$7,,$E178)), 0)),0)</f>
        <v>0</v>
      </c>
      <c r="BC178" s="150">
        <f>IF($C178&gt;0,(IF($BA$7&gt;=$C178+1, (-FV(InflationRate,$BA$7,,$F178)), 0)),0)</f>
        <v>0</v>
      </c>
      <c r="BD178" s="176">
        <f>IF($C178&gt;0,(IF($BA$7&gt;=$C178+1, (-FV(InflationRate,$BA$7,,$G178)), 0)),0)</f>
        <v>0</v>
      </c>
      <c r="BE178" s="168">
        <f>IF($C178&gt;0,(IF($C178=$BE$7,(-FV(InflationRate,$BE$7,,$D178)),0)),0)</f>
        <v>0</v>
      </c>
      <c r="BF178" s="149">
        <f>IF($C178&gt;0,(IF($BE$7&gt;=$C178+1, (-FV(InflationRate,$BE$7,,$E178)), 0)),0)</f>
        <v>0</v>
      </c>
      <c r="BG178" s="149">
        <f>IF($C178&gt;0,(IF($BE$7&gt;=$C178+1, (-FV(InflationRate,$BE$7,,$F178)), 0)),0)</f>
        <v>0</v>
      </c>
      <c r="BH178" s="171">
        <f>IF($C178&gt;0,(IF($BE$7&gt;=$C178+1, (-FV(InflationRate,$BE$7,,$G178)), 0)),0)</f>
        <v>0</v>
      </c>
      <c r="BI178" s="160">
        <f>IF($C178&gt;0,(IF($C178=$BI$7,(-FV(InflationRate,$BI$7,,$D178)),0)),0)</f>
        <v>0</v>
      </c>
      <c r="BJ178" s="150">
        <f>IF($C178&gt;0,(IF($BI$7&gt;=$C178+1, (-FV(InflationRate,$BI$7,,$E178)), 0)),0)</f>
        <v>0</v>
      </c>
      <c r="BK178" s="150">
        <f>IF($C178&gt;0,(IF($BI$7&gt;=$C178+1, (-FV(InflationRate,$BI$7,,$F178)), 0)),0)</f>
        <v>0</v>
      </c>
      <c r="BL178" s="176">
        <f>IF($C178&gt;0,(IF($BI$7&gt;=$C178+1, (-FV(InflationRate,$BI$7,,$G178)), 0)),0)</f>
        <v>0</v>
      </c>
      <c r="BM178" s="168">
        <f>IF($C178&gt;0,(IF($C178=$BM$7,(-FV(InflationRate,$BM$7,,$D178)),0)),0)</f>
        <v>0</v>
      </c>
      <c r="BN178" s="149">
        <f>IF($C178&gt;0,(IF($BM$7&gt;=$C178+1, (-FV(InflationRate,$BM$7,,$E178)), 0)),0)</f>
        <v>0</v>
      </c>
      <c r="BO178" s="149">
        <f>IF($C178&gt;0,(IF($BM$7&gt;=$C178+1, (-FV(InflationRate,$BM$7,,$F178)), 0)),0)</f>
        <v>0</v>
      </c>
      <c r="BP178" s="157">
        <f>IF($C178&gt;0,(IF($BM$7&gt;=$C178+1, (-FV(InflationRate,$BM$7,,$G178)), 0)),0)</f>
        <v>0</v>
      </c>
      <c r="BQ178" s="160">
        <f>IF($C178&gt;0,(IF($C178=$BQ$7,(-FV(InflationRate,$BQ$7,,$D178)),0)),0)</f>
        <v>0</v>
      </c>
      <c r="BR178" s="150">
        <f>IF($C178&gt;0,(IF($BQ$7&gt;=$C178+1, (-FV(InflationRate,$BQ$7,,$E178)), 0)),0)</f>
        <v>0</v>
      </c>
      <c r="BS178" s="150">
        <f>IF($C178&gt;0,(IF($BQ$7&gt;=$C178+1, (-FV(InflationRate,$BQ$7,,$F178)), 0)),0)</f>
        <v>0</v>
      </c>
      <c r="BT178" s="176">
        <f>IF($C178&gt;0,(IF($BQ$7&gt;=$C178+1, (-FV(InflationRate,$BQ$7,,$G178)), 0)),0)</f>
        <v>0</v>
      </c>
      <c r="BU178" s="168">
        <f>IF($C178&gt;0,(IF($C178=$BU$7,(-FV(InflationRate,$BU$7,,$D178)),0)),0)</f>
        <v>0</v>
      </c>
      <c r="BV178" s="149">
        <f>IF($C178&gt;0,(IF($BU$7&gt;=$C178+1, (-FV(InflationRate,$BU$7,,$E178)), 0)),0)</f>
        <v>0</v>
      </c>
      <c r="BW178" s="149">
        <f>IF($C178&gt;0,(IF($BU$7&gt;=$C178+1, (-FV(InflationRate,$BU$7,,$F178)), 0)),0)</f>
        <v>0</v>
      </c>
      <c r="BX178" s="157">
        <f>IF($C178&gt;0,(IF($BU$7&gt;=$C178+1, (-FV(InflationRate,$BU$7,,$G178)), 0)),0)</f>
        <v>0</v>
      </c>
      <c r="BY178" s="160">
        <f>IF($C178&gt;0,(IF($C178=$BY$7,(-FV(InflationRate,$BY$7,,$D178)),0)),0)</f>
        <v>0</v>
      </c>
      <c r="BZ178" s="150">
        <f>IF($C178&gt;0,(IF($BY$7&gt;=$C178+1, (-FV(InflationRate,$BY$7,,$E178)), 0)),0)</f>
        <v>0</v>
      </c>
      <c r="CA178" s="150">
        <f>IF($C178&gt;0,(IF($BY$7&gt;=$C178+1, (-FV(InflationRate,$BY$7,,$F178)), 0)),0)</f>
        <v>0</v>
      </c>
      <c r="CB178" s="176">
        <f>IF($C178&gt;0,(IF($BY$7&gt;=$C178+1, (-FV(InflationRate,$BY$7,,$G178)), 0)),0)</f>
        <v>0</v>
      </c>
      <c r="CC178" s="168">
        <f>IF($C178&gt;0,(IF($C178=$CC$7,(-FV(InflationRate,$CC$7,,$D178)),0)),0)</f>
        <v>0</v>
      </c>
      <c r="CD178" s="149">
        <f>IF($C178&gt;0,(IF($CC$7&gt;=$C178+1, (-FV(InflationRate,$CC$7,,$E178)), 0)),0)</f>
        <v>0</v>
      </c>
      <c r="CE178" s="149">
        <f>IF($C178&gt;0,(IF($CC$7&gt;=$C178+1, (-FV(InflationRate,$CC$7,,$F178)), 0)),0)</f>
        <v>0</v>
      </c>
      <c r="CF178" s="157">
        <f>IF($C178&gt;0,(IF($CC$7&gt;=$C178+1, (-FV(InflationRate,$CC$7,,$G178)), 0)),0)</f>
        <v>0</v>
      </c>
      <c r="CG178" s="160">
        <f>IF($C178&gt;0,(IF($C178=$CG$7,(-FV(InflationRate,$CG$7,,$D178)),0)),0)</f>
        <v>0</v>
      </c>
      <c r="CH178" s="150">
        <f>IF($C178&gt;0,(IF($CG$7&gt;=$C178+1, (-FV(InflationRate,$CG$7,,$E178)), 0)),0)</f>
        <v>0</v>
      </c>
      <c r="CI178" s="150">
        <f>IF($C178&gt;0,(IF($CG$7&gt;=$C178+1, (-FV(InflationRate,$CG$7,,$F178)), 0)),0)</f>
        <v>0</v>
      </c>
      <c r="CJ178" s="176">
        <f>IF($C178&gt;0,(IF($CG$7&gt;=$C178+1, (-FV(InflationRate,$CG$7,,$G178)), 0)),0)</f>
        <v>0</v>
      </c>
      <c r="CK178" s="168">
        <f>IF($C178&gt;0,(IF($C178=$CK$7,(-FV(InflationRate,$CK$7,,$D178)),0)),0)</f>
        <v>0</v>
      </c>
      <c r="CL178" s="149">
        <f>IF($C178&gt;0,(IF($CK$7&gt;=$C178+1, (-FV(InflationRate,$CK$7,,$E178)), 0)),0)</f>
        <v>0</v>
      </c>
      <c r="CM178" s="149">
        <f>IF($C178&gt;0,(IF($CK$7&gt;=$C178+1, (-FV(InflationRate,$CK$7,,$F178)), 0)),0)</f>
        <v>0</v>
      </c>
      <c r="CN178" s="157">
        <f>IF($C178&gt;0,(IF($CK$7&gt;=$C178+1, (-FV(InflationRate,$CK$7,,$G178)), 0)),0)</f>
        <v>0</v>
      </c>
      <c r="CO178" s="160">
        <f>IF($C178&gt;0,(IF($C178=$CO$7,(-FV(InflationRate,$CO$7,,$D178)),0)),0)</f>
        <v>0</v>
      </c>
      <c r="CP178" s="150">
        <f>IF($C178&gt;0,(IF($CO$7&gt;=$C178+1, (-FV(InflationRate,$CO$7,,$E178)), 0)),0)</f>
        <v>0</v>
      </c>
      <c r="CQ178" s="150">
        <f>IF($C178&gt;0,(IF($CO$7&gt;=$C178+1, (-FV(InflationRate,$CO$7,,$F178)), 0)),0)</f>
        <v>0</v>
      </c>
      <c r="CR178" s="176">
        <f>IF($C178&gt;0,(IF($CO$7&gt;=$C178+1, (-FV(InflationRate,$CO$7,,$G178)), 0)),0)</f>
        <v>0</v>
      </c>
      <c r="CS178" s="168">
        <f>IF($C178&gt;0,(IF($C178=$CS$7,(-FV(InflationRate,$CS$7,,$D178)),0)),0)</f>
        <v>0</v>
      </c>
      <c r="CT178" s="149">
        <f>IF($C178&gt;0,(IF($CS$7&gt;=$C178+1, (-FV(InflationRate,$CS$7,,$E178)), 0)),0)</f>
        <v>0</v>
      </c>
      <c r="CU178" s="149">
        <f>IF($C178&gt;0,(IF($CS$7&gt;=$C178+1, (-FV(InflationRate,$CS$7,,$F178)), 0)),0)</f>
        <v>0</v>
      </c>
      <c r="CV178" s="157">
        <f>IF($C178&gt;0,(IF($CS$7&gt;=$C178+1, (-FV(InflationRate,$CS$7,,$G178)), 0)),0)</f>
        <v>0</v>
      </c>
      <c r="CW178" s="160">
        <f>IF($C178&gt;0,(IF($C178=$CW$7,(-FV(InflationRate,$CW$7,,$D178)),0)),0)</f>
        <v>0</v>
      </c>
      <c r="CX178" s="150">
        <f>IF($C178&gt;0,(IF($CW$7&gt;=$C178+1, (-FV(InflationRate,$CW$7,,$E178)), 0)),0)</f>
        <v>0</v>
      </c>
      <c r="CY178" s="150">
        <f>IF($C178&gt;0,(IF($CW$7&gt;=$C178+1, (-FV(InflationRate,$CW$7,,$F178)), 0)),0)</f>
        <v>0</v>
      </c>
      <c r="CZ178" s="176">
        <f>IF($C178&gt;0,(IF($CW$7&gt;=$C178+1, (-FV(InflationRate,$CW$7,,$G178)), 0)),0)</f>
        <v>0</v>
      </c>
      <c r="DA178" s="168">
        <f>IF($C178&gt;0,(IF($C178=$DA$7,(-FV(InflationRate,$DA$7,,$D178)),0)),0)</f>
        <v>0</v>
      </c>
      <c r="DB178" s="149">
        <f>IF($C178&gt;0,(IF($DA$7&gt;=$C178+1, (-FV(InflationRate,$DA$7,,$E178)), 0)),0)</f>
        <v>0</v>
      </c>
      <c r="DC178" s="149">
        <f>IF($C178&gt;0,(IF($DA$7&gt;=$C178+1, (-FV(InflationRate,$DA$7,,$F178)), 0)),0)</f>
        <v>0</v>
      </c>
      <c r="DD178" s="157">
        <f>IF($C178&gt;0,(IF($DA$7&gt;=$C178+1, (-FV(InflationRate,$DA$7,,$G178)), 0)),0)</f>
        <v>0</v>
      </c>
    </row>
    <row r="179" spans="2:108" x14ac:dyDescent="0.2">
      <c r="B179" s="183" t="s">
        <v>203</v>
      </c>
      <c r="C179" s="556"/>
      <c r="D179" s="168"/>
      <c r="E179" s="149"/>
      <c r="F179" s="149">
        <f>F176</f>
        <v>0</v>
      </c>
      <c r="G179" s="149"/>
      <c r="H179" s="168">
        <f>SUM(I179:AB179)</f>
        <v>0</v>
      </c>
      <c r="I179" s="610">
        <f>-PV(InterestRate,I$8,,(SUM(AC179:AF179)))</f>
        <v>0</v>
      </c>
      <c r="J179" s="610">
        <f>-PV(InterestRate,J$8,,(SUM(AG179:AJ179)))</f>
        <v>0</v>
      </c>
      <c r="K179" s="610">
        <f>-PV(InterestRate,K$8,,(SUM(AK179:AN179)))</f>
        <v>0</v>
      </c>
      <c r="L179" s="610">
        <f>-PV(InterestRate,L$8,,(SUM(AO179:AR179)))</f>
        <v>0</v>
      </c>
      <c r="M179" s="610">
        <f>-PV(InterestRate,M$8,,(SUM(AS179:AV179)))</f>
        <v>0</v>
      </c>
      <c r="N179" s="610">
        <f>-PV(InterestRate,N$8,,(SUM(AW179:AZ179)))</f>
        <v>0</v>
      </c>
      <c r="O179" s="610">
        <f>-PV(InterestRate,O$8,,(SUM(BA179:BD179)))</f>
        <v>0</v>
      </c>
      <c r="P179" s="610">
        <f>-PV(InterestRate,P$8,,(SUM(BE179:BH179)))</f>
        <v>0</v>
      </c>
      <c r="Q179" s="610">
        <f>-PV(InterestRate,Q$8,,(SUM(BI179:BL179)))</f>
        <v>0</v>
      </c>
      <c r="R179" s="610">
        <f>-PV(InterestRate,R$8,,(SUM(BM179:BP179)))</f>
        <v>0</v>
      </c>
      <c r="S179" s="610">
        <f>-PV(InterestRate,S$8,,(SUM(BQ179:BT179)))</f>
        <v>0</v>
      </c>
      <c r="T179" s="610">
        <f>-PV(InterestRate,T$8,,(SUM(BU179:BX179)))</f>
        <v>0</v>
      </c>
      <c r="U179" s="610">
        <f>-PV(InterestRate,U$8,,(SUM(BY179:CB179)))</f>
        <v>0</v>
      </c>
      <c r="V179" s="610">
        <f>-PV(InterestRate,V$8,,(SUM(CC179:CF179)))</f>
        <v>0</v>
      </c>
      <c r="W179" s="610">
        <f>-PV(InterestRate,W$8,,(SUM(CG179:CJ179)))</f>
        <v>0</v>
      </c>
      <c r="X179" s="610">
        <f>-PV(InterestRate,X$8,,(SUM(CK179:CN179)))</f>
        <v>0</v>
      </c>
      <c r="Y179" s="610">
        <f>-PV(InterestRate,Y$8,,(SUM(CO179:CR179)))</f>
        <v>0</v>
      </c>
      <c r="Z179" s="610">
        <f>-PV(InterestRate,Z$8,,(SUM(CS179:CV179)))</f>
        <v>0</v>
      </c>
      <c r="AA179" s="610">
        <f>-PV(InterestRate,AA$8,,(SUM(CW179:CZ179)))</f>
        <v>0</v>
      </c>
      <c r="AB179" s="611">
        <f>-PV(InterestRate,AB$8,,(SUM(DA179:DD179)))</f>
        <v>0</v>
      </c>
      <c r="AC179" s="160">
        <f>IF($C179&gt;0,(IF($C179=$AC$7,$D179,0)),0)</f>
        <v>0</v>
      </c>
      <c r="AD179" s="150">
        <f>IF($C179&gt;0,(IF($AC$7&gt;=$C179+1,$E179,0)),0)</f>
        <v>0</v>
      </c>
      <c r="AE179" s="150">
        <f>IF($C179&gt;0,(IF($C179=$AC$7,$F179,0)),0)</f>
        <v>0</v>
      </c>
      <c r="AF179" s="165">
        <f>IF($C179&gt;0,(IF($AC$7&gt;=$C179+1,$G179,0)),0)</f>
        <v>0</v>
      </c>
      <c r="AG179" s="168"/>
      <c r="AH179" s="149"/>
      <c r="AI179" s="149"/>
      <c r="AJ179" s="171"/>
      <c r="AK179" s="160"/>
      <c r="AL179" s="150"/>
      <c r="AM179" s="150"/>
      <c r="AN179" s="165"/>
      <c r="AO179" s="168">
        <f>IF($C179&gt;0,(IF($C179=$AO$7,(-FV(InflationRate,$AO$7,,$D179)),0)),0)</f>
        <v>0</v>
      </c>
      <c r="AP179" s="149">
        <f>IF($C179&gt;0,(IF($AO$7&gt;=$C179+1, (-FV(InflationRate,$AO$7,,$E179)), 0)),0)</f>
        <v>0</v>
      </c>
      <c r="AQ179" s="149">
        <f>IF($C179&gt;0,(IF($AO$7&gt;=$C179+1, (-FV(InflationRate,$AO$7,,$F179)), 0)),0)</f>
        <v>0</v>
      </c>
      <c r="AR179" s="157">
        <f>IF($C179&gt;0,(IF($AO$7&gt;=$C179+1, (-FV(InflationRate,$AO$7,,$G179)), 0)),0)</f>
        <v>0</v>
      </c>
      <c r="AS179" s="160">
        <f>IF($C179&gt;0,(IF($C179=$AS$7,(-FV(InflationRate,$AS$7,,$D179)),0)),0)</f>
        <v>0</v>
      </c>
      <c r="AT179" s="150">
        <f>IF($C179&gt;0,(IF($AS$7&gt;=$C179+1, (-FV(InflationRate,$AS$7,,$E179)), 0)),0)</f>
        <v>0</v>
      </c>
      <c r="AU179" s="150">
        <f>IF($C179&gt;0,(IF($AS$7&gt;=$C179+1, (-FV(InflationRate,$AS$7,,$F179)), 0)),0)</f>
        <v>0</v>
      </c>
      <c r="AV179" s="165">
        <f>IF($C179&gt;0,(IF($AS$7&gt;=$C179+1, (-FV(InflationRate,$AS$7,,$G179)), 0)),0)</f>
        <v>0</v>
      </c>
      <c r="AW179" s="168">
        <f>IF($C179&gt;0,(IF($C179=$AW$7,(-FV(InflationRate,$AW$7,,$D179)),0)),0)</f>
        <v>0</v>
      </c>
      <c r="AX179" s="149">
        <f>IF($C179&gt;0,(IF($AW$7&gt;=$C179+1, (-FV(InflationRate,$AW$7,,$E179)), 0)),0)</f>
        <v>0</v>
      </c>
      <c r="AY179" s="149">
        <f>IF($C179&gt;0,(IF($AW$7&gt;=$C179+1, (-FV(InflationRate,$AW$7,,$F179)), 0)),0)</f>
        <v>0</v>
      </c>
      <c r="AZ179" s="157">
        <f>IF($C179&gt;0,(IF($AW$7&gt;=$C179+1, (-FV(InflationRate,$AW$7,,$G179)), 0)),0)</f>
        <v>0</v>
      </c>
      <c r="BA179" s="160">
        <f>IF($C179&gt;0,(IF($C179=$BA$7,(-FV(InflationRate,$BA$7,,$D179)),0)),0)</f>
        <v>0</v>
      </c>
      <c r="BB179" s="150">
        <f>IF($C179&gt;0,(IF($BA$7&gt;=$C179+1, (-FV(InflationRate,$BA$7,,$E179)), 0)),0)</f>
        <v>0</v>
      </c>
      <c r="BC179" s="150">
        <f>IF($C179&gt;0,(IF($BA$7&gt;=$C179+1, (-FV(InflationRate,$BA$7,,$F179)), 0)),0)</f>
        <v>0</v>
      </c>
      <c r="BD179" s="176">
        <f>IF($C179&gt;0,(IF($BA$7&gt;=$C179+1, (-FV(InflationRate,$BA$7,,$G179)), 0)),0)</f>
        <v>0</v>
      </c>
      <c r="BE179" s="168">
        <f>IF($C179&gt;0,(IF($C179=$BE$7,(-FV(InflationRate,$BE$7,,$D179)),0)),0)</f>
        <v>0</v>
      </c>
      <c r="BF179" s="149">
        <f>IF($C179&gt;0,(IF($BE$7&gt;=$C179+1, (-FV(InflationRate,$BE$7,,$E179)), 0)),0)</f>
        <v>0</v>
      </c>
      <c r="BG179" s="149">
        <f>IF($C179&gt;0,(IF($BE$7&gt;=$C179+1, (-FV(InflationRate,$BE$7,,$F179)), 0)),0)</f>
        <v>0</v>
      </c>
      <c r="BH179" s="171">
        <f>IF($C179&gt;0,(IF($BE$7&gt;=$C179+1, (-FV(InflationRate,$BE$7,,$G179)), 0)),0)</f>
        <v>0</v>
      </c>
      <c r="BI179" s="160">
        <f>IF($C179&gt;0,(IF($C179=$BI$7,(-FV(InflationRate,$BI$7,,$D179)),0)),0)</f>
        <v>0</v>
      </c>
      <c r="BJ179" s="150">
        <f>IF($C179&gt;0,(IF($BI$7&gt;=$C179+1, (-FV(InflationRate,$BI$7,,$E179)), 0)),0)</f>
        <v>0</v>
      </c>
      <c r="BK179" s="150">
        <f>IF($C179&gt;0,(IF($BI$7&gt;=$C179+1, (-FV(InflationRate,$BI$7,,$F179)), 0)),0)</f>
        <v>0</v>
      </c>
      <c r="BL179" s="176">
        <f>IF($C179&gt;0,(IF($BI$7&gt;=$C179+1, (-FV(InflationRate,$BI$7,,$G179)), 0)),0)</f>
        <v>0</v>
      </c>
      <c r="BM179" s="168">
        <f>IF($C179&gt;0,(IF($C179=$BM$7,(-FV(InflationRate,$BM$7,,$D179)),0)),0)</f>
        <v>0</v>
      </c>
      <c r="BN179" s="149">
        <f>IF($C179&gt;0,(IF($BM$7&gt;=$C179+1, (-FV(InflationRate,$BM$7,,$E179)), 0)),0)</f>
        <v>0</v>
      </c>
      <c r="BO179" s="149">
        <f>IF($C179&gt;0,(IF($BM$7&gt;=$C179+1, (-FV(InflationRate,$BM$7,,$F179)), 0)),0)</f>
        <v>0</v>
      </c>
      <c r="BP179" s="157">
        <f>IF($C179&gt;0,(IF($BM$7&gt;=$C179+1, (-FV(InflationRate,$BM$7,,$G179)), 0)),0)</f>
        <v>0</v>
      </c>
      <c r="BQ179" s="160">
        <f>IF($C179&gt;0,(IF($C179=$BQ$7,(-FV(InflationRate,$BQ$7,,$D179)),0)),0)</f>
        <v>0</v>
      </c>
      <c r="BR179" s="150">
        <f>IF($C179&gt;0,(IF($BQ$7&gt;=$C179+1, (-FV(InflationRate,$BQ$7,,$E179)), 0)),0)</f>
        <v>0</v>
      </c>
      <c r="BS179" s="150">
        <f>IF($C179&gt;0,(IF($BQ$7&gt;=$C179+1, (-FV(InflationRate,$BQ$7,,$F179)), 0)),0)</f>
        <v>0</v>
      </c>
      <c r="BT179" s="176">
        <f>IF($C179&gt;0,(IF($BQ$7&gt;=$C179+1, (-FV(InflationRate,$BQ$7,,$G179)), 0)),0)</f>
        <v>0</v>
      </c>
      <c r="BU179" s="168">
        <f>IF($C179&gt;0,(IF($C179=$BU$7,(-FV(InflationRate,$BU$7,,$D179)),0)),0)</f>
        <v>0</v>
      </c>
      <c r="BV179" s="149">
        <f>IF($C179&gt;0,(IF($BU$7&gt;=$C179+1, (-FV(InflationRate,$BU$7,,$E179)), 0)),0)</f>
        <v>0</v>
      </c>
      <c r="BW179" s="149">
        <f>IF($C179&gt;0,(IF($BU$7&gt;=$C179+1, (-FV(InflationRate,$BU$7,,$F179)), 0)),0)</f>
        <v>0</v>
      </c>
      <c r="BX179" s="157">
        <f>IF($C179&gt;0,(IF($BU$7&gt;=$C179+1, (-FV(InflationRate,$BU$7,,$G179)), 0)),0)</f>
        <v>0</v>
      </c>
      <c r="BY179" s="160">
        <f>IF($C179&gt;0,(IF($C179=$BY$7,(-FV(InflationRate,$BY$7,,$D179)),0)),0)</f>
        <v>0</v>
      </c>
      <c r="BZ179" s="150">
        <f>IF($C179&gt;0,(IF($BY$7&gt;=$C179+1, (-FV(InflationRate,$BY$7,,$E179)), 0)),0)</f>
        <v>0</v>
      </c>
      <c r="CA179" s="150">
        <f>IF($C179&gt;0,(IF($BY$7&gt;=$C179+1, (-FV(InflationRate,$BY$7,,$F179)), 0)),0)</f>
        <v>0</v>
      </c>
      <c r="CB179" s="176">
        <f>IF($C179&gt;0,(IF($BY$7&gt;=$C179+1, (-FV(InflationRate,$BY$7,,$G179)), 0)),0)</f>
        <v>0</v>
      </c>
      <c r="CC179" s="168">
        <f>IF($C179&gt;0,(IF($C179=$CC$7,(-FV(InflationRate,$CC$7,,$D179)),0)),0)</f>
        <v>0</v>
      </c>
      <c r="CD179" s="149">
        <f>IF($C179&gt;0,(IF($CC$7&gt;=$C179+1, (-FV(InflationRate,$CC$7,,$E179)), 0)),0)</f>
        <v>0</v>
      </c>
      <c r="CE179" s="149">
        <f>IF($C179&gt;0,(IF($CC$7&gt;=$C179+1, (-FV(InflationRate,$CC$7,,$F179)), 0)),0)</f>
        <v>0</v>
      </c>
      <c r="CF179" s="157">
        <f>IF($C179&gt;0,(IF($CC$7&gt;=$C179+1, (-FV(InflationRate,$CC$7,,$G179)), 0)),0)</f>
        <v>0</v>
      </c>
      <c r="CG179" s="160">
        <f>IF($C179&gt;0,(IF($C179=$CG$7,(-FV(InflationRate,$CG$7,,$D179)),0)),0)</f>
        <v>0</v>
      </c>
      <c r="CH179" s="150">
        <f>IF($C179&gt;0,(IF($CG$7&gt;=$C179+1, (-FV(InflationRate,$CG$7,,$E179)), 0)),0)</f>
        <v>0</v>
      </c>
      <c r="CI179" s="150">
        <f>IF($C179&gt;0,(IF($CG$7&gt;=$C179+1, (-FV(InflationRate,$CG$7,,$F179)), 0)),0)</f>
        <v>0</v>
      </c>
      <c r="CJ179" s="176">
        <f>IF($C179&gt;0,(IF($CG$7&gt;=$C179+1, (-FV(InflationRate,$CG$7,,$G179)), 0)),0)</f>
        <v>0</v>
      </c>
      <c r="CK179" s="168">
        <f>IF($C179&gt;0,(IF($C179=$CK$7,(-FV(InflationRate,$CK$7,,$D179)),0)),0)</f>
        <v>0</v>
      </c>
      <c r="CL179" s="149">
        <f>IF($C179&gt;0,(IF($CK$7&gt;=$C179+1, (-FV(InflationRate,$CK$7,,$E179)), 0)),0)</f>
        <v>0</v>
      </c>
      <c r="CM179" s="149">
        <f>IF($C179&gt;0,(IF($CK$7&gt;=$C179+1, (-FV(InflationRate,$CK$7,,$F179)), 0)),0)</f>
        <v>0</v>
      </c>
      <c r="CN179" s="157">
        <f>IF($C179&gt;0,(IF($CK$7&gt;=$C179+1, (-FV(InflationRate,$CK$7,,$G179)), 0)),0)</f>
        <v>0</v>
      </c>
      <c r="CO179" s="160">
        <f>IF($C179&gt;0,(IF($C179=$CO$7,(-FV(InflationRate,$CO$7,,$D179)),0)),0)</f>
        <v>0</v>
      </c>
      <c r="CP179" s="150">
        <f>IF($C179&gt;0,(IF($CO$7&gt;=$C179+1, (-FV(InflationRate,$CO$7,,$E179)), 0)),0)</f>
        <v>0</v>
      </c>
      <c r="CQ179" s="150">
        <f>IF($C179&gt;0,(IF($CO$7&gt;=$C179+1, (-FV(InflationRate,$CO$7,,$F179)), 0)),0)</f>
        <v>0</v>
      </c>
      <c r="CR179" s="176">
        <f>IF($C179&gt;0,(IF($CO$7&gt;=$C179+1, (-FV(InflationRate,$CO$7,,$G179)), 0)),0)</f>
        <v>0</v>
      </c>
      <c r="CS179" s="168">
        <f>IF($C179&gt;0,(IF($C179=$CS$7,(-FV(InflationRate,$CS$7,,$D179)),0)),0)</f>
        <v>0</v>
      </c>
      <c r="CT179" s="149">
        <f>IF($C179&gt;0,(IF($CS$7&gt;=$C179+1, (-FV(InflationRate,$CS$7,,$E179)), 0)),0)</f>
        <v>0</v>
      </c>
      <c r="CU179" s="149">
        <f>IF($C179&gt;0,(IF($CS$7&gt;=$C179+1, (-FV(InflationRate,$CS$7,,$F179)), 0)),0)</f>
        <v>0</v>
      </c>
      <c r="CV179" s="157">
        <f>IF($C179&gt;0,(IF($CS$7&gt;=$C179+1, (-FV(InflationRate,$CS$7,,$G179)), 0)),0)</f>
        <v>0</v>
      </c>
      <c r="CW179" s="160">
        <f>IF($C179&gt;0,(IF($C179=$CW$7,(-FV(InflationRate,$CW$7,,$D179)),0)),0)</f>
        <v>0</v>
      </c>
      <c r="CX179" s="150">
        <f>IF($C179&gt;0,(IF($CW$7&gt;=$C179+1, (-FV(InflationRate,$CW$7,,$E179)), 0)),0)</f>
        <v>0</v>
      </c>
      <c r="CY179" s="150">
        <f>IF($C179&gt;0,(IF($CW$7&gt;=$C179+1, (-FV(InflationRate,$CW$7,,$F179)), 0)),0)</f>
        <v>0</v>
      </c>
      <c r="CZ179" s="176">
        <f>IF($C179&gt;0,(IF($CW$7&gt;=$C179+1, (-FV(InflationRate,$CW$7,,$G179)), 0)),0)</f>
        <v>0</v>
      </c>
      <c r="DA179" s="168">
        <f>IF($C179&gt;0,(IF($C179=$DA$7,(-FV(InflationRate,$DA$7,,$D179)),0)),0)</f>
        <v>0</v>
      </c>
      <c r="DB179" s="149">
        <f>IF($C179&gt;0,(IF($DA$7&gt;=$C179+1, (-FV(InflationRate,$DA$7,,$E179)), 0)),0)</f>
        <v>0</v>
      </c>
      <c r="DC179" s="149">
        <f>IF($C179&gt;0,(IF($DA$7&gt;=$C179+1, (-FV(InflationRate,$DA$7,,$F179)), 0)),0)</f>
        <v>0</v>
      </c>
      <c r="DD179" s="157">
        <f>IF($C179&gt;0,(IF($DA$7&gt;=$C179+1, (-FV(InflationRate,$DA$7,,$G179)), 0)),0)</f>
        <v>0</v>
      </c>
    </row>
    <row r="180" spans="2:108" x14ac:dyDescent="0.2">
      <c r="B180" s="182"/>
      <c r="C180" s="189"/>
      <c r="D180" s="168"/>
      <c r="E180" s="149"/>
      <c r="F180" s="149"/>
      <c r="G180" s="149"/>
      <c r="H180" s="168"/>
      <c r="I180" s="600"/>
      <c r="J180" s="600"/>
      <c r="K180" s="600"/>
      <c r="L180" s="600"/>
      <c r="M180" s="600"/>
      <c r="N180" s="600"/>
      <c r="O180" s="600"/>
      <c r="P180" s="600"/>
      <c r="Q180" s="600"/>
      <c r="R180" s="600"/>
      <c r="S180" s="600"/>
      <c r="T180" s="600"/>
      <c r="U180" s="600"/>
      <c r="V180" s="600"/>
      <c r="W180" s="600"/>
      <c r="X180" s="600"/>
      <c r="Y180" s="600"/>
      <c r="Z180" s="600"/>
      <c r="AA180" s="600"/>
      <c r="AB180" s="601"/>
      <c r="AC180" s="160"/>
      <c r="AD180" s="150"/>
      <c r="AE180" s="150"/>
      <c r="AF180" s="165"/>
      <c r="AG180" s="168"/>
      <c r="AH180" s="149"/>
      <c r="AI180" s="149"/>
      <c r="AJ180" s="171"/>
      <c r="AK180" s="160"/>
      <c r="AL180" s="150"/>
      <c r="AM180" s="150"/>
      <c r="AN180" s="165"/>
      <c r="AO180" s="168"/>
      <c r="AP180" s="149"/>
      <c r="AQ180" s="149"/>
      <c r="AR180" s="157"/>
      <c r="AS180" s="160"/>
      <c r="AT180" s="150"/>
      <c r="AU180" s="150"/>
      <c r="AV180" s="165"/>
      <c r="AW180" s="168"/>
      <c r="AX180" s="149"/>
      <c r="AY180" s="149"/>
      <c r="AZ180" s="157"/>
      <c r="BA180" s="160"/>
      <c r="BB180" s="150"/>
      <c r="BC180" s="150"/>
      <c r="BD180" s="176"/>
      <c r="BE180" s="168"/>
      <c r="BF180" s="149"/>
      <c r="BG180" s="149"/>
      <c r="BH180" s="171"/>
      <c r="BI180" s="160"/>
      <c r="BJ180" s="150"/>
      <c r="BK180" s="150"/>
      <c r="BL180" s="176"/>
      <c r="BM180" s="168"/>
      <c r="BN180" s="149"/>
      <c r="BO180" s="149"/>
      <c r="BP180" s="157"/>
      <c r="BQ180" s="160"/>
      <c r="BR180" s="150"/>
      <c r="BS180" s="150"/>
      <c r="BT180" s="176"/>
      <c r="BU180" s="168"/>
      <c r="BV180" s="149"/>
      <c r="BW180" s="149"/>
      <c r="BX180" s="157"/>
      <c r="BY180" s="160"/>
      <c r="BZ180" s="150"/>
      <c r="CA180" s="150"/>
      <c r="CB180" s="176"/>
      <c r="CC180" s="168"/>
      <c r="CD180" s="149"/>
      <c r="CE180" s="149"/>
      <c r="CF180" s="157"/>
      <c r="CG180" s="160"/>
      <c r="CH180" s="150"/>
      <c r="CI180" s="150"/>
      <c r="CJ180" s="176"/>
      <c r="CK180" s="168"/>
      <c r="CL180" s="149"/>
      <c r="CM180" s="149"/>
      <c r="CN180" s="157"/>
      <c r="CO180" s="160"/>
      <c r="CP180" s="150"/>
      <c r="CQ180" s="150"/>
      <c r="CR180" s="176"/>
      <c r="CS180" s="168"/>
      <c r="CT180" s="149"/>
      <c r="CU180" s="149"/>
      <c r="CV180" s="157"/>
      <c r="CW180" s="160"/>
      <c r="CX180" s="150"/>
      <c r="CY180" s="150"/>
      <c r="CZ180" s="176"/>
      <c r="DA180" s="168"/>
      <c r="DB180" s="149"/>
      <c r="DC180" s="149"/>
      <c r="DD180" s="157"/>
    </row>
    <row r="181" spans="2:108" ht="24" x14ac:dyDescent="0.2">
      <c r="B181" s="182" t="str">
        <f>'Aqua - S1'!B5</f>
        <v>Aquaculture/Shellfish Propagation - Site 1 - Shellfish Extension Program</v>
      </c>
      <c r="C181" s="189"/>
      <c r="D181" s="194">
        <f>'Aqua - S1'!F34</f>
        <v>432300</v>
      </c>
      <c r="E181" s="195">
        <f>'Aqua - S1'!F63</f>
        <v>283300</v>
      </c>
      <c r="F181" s="195">
        <f>'Aqua - S1'!F94</f>
        <v>426400</v>
      </c>
      <c r="G181" s="195">
        <f>'Aqua - S1'!F123</f>
        <v>58900</v>
      </c>
      <c r="H181" s="168"/>
      <c r="I181" s="600"/>
      <c r="J181" s="600"/>
      <c r="K181" s="600"/>
      <c r="L181" s="600"/>
      <c r="M181" s="600"/>
      <c r="N181" s="600"/>
      <c r="O181" s="600"/>
      <c r="P181" s="600"/>
      <c r="Q181" s="600"/>
      <c r="R181" s="600"/>
      <c r="S181" s="600"/>
      <c r="T181" s="600"/>
      <c r="U181" s="600"/>
      <c r="V181" s="600"/>
      <c r="W181" s="600"/>
      <c r="X181" s="600"/>
      <c r="Y181" s="600"/>
      <c r="Z181" s="600"/>
      <c r="AA181" s="600"/>
      <c r="AB181" s="601"/>
      <c r="AC181" s="160"/>
      <c r="AD181" s="150"/>
      <c r="AE181" s="150"/>
      <c r="AF181" s="165"/>
      <c r="AG181" s="168"/>
      <c r="AH181" s="149"/>
      <c r="AI181" s="149"/>
      <c r="AJ181" s="171"/>
      <c r="AK181" s="160"/>
      <c r="AL181" s="150"/>
      <c r="AM181" s="150"/>
      <c r="AN181" s="165"/>
      <c r="AO181" s="168"/>
      <c r="AP181" s="149"/>
      <c r="AQ181" s="149"/>
      <c r="AR181" s="157"/>
      <c r="AS181" s="160"/>
      <c r="AT181" s="150"/>
      <c r="AU181" s="150"/>
      <c r="AV181" s="165"/>
      <c r="AW181" s="168"/>
      <c r="AX181" s="149"/>
      <c r="AY181" s="149"/>
      <c r="AZ181" s="157"/>
      <c r="BA181" s="160"/>
      <c r="BB181" s="150"/>
      <c r="BC181" s="150"/>
      <c r="BD181" s="176"/>
      <c r="BE181" s="168"/>
      <c r="BF181" s="149"/>
      <c r="BG181" s="149"/>
      <c r="BH181" s="171"/>
      <c r="BI181" s="160"/>
      <c r="BJ181" s="150"/>
      <c r="BK181" s="150"/>
      <c r="BL181" s="176"/>
      <c r="BM181" s="168"/>
      <c r="BN181" s="149"/>
      <c r="BO181" s="149"/>
      <c r="BP181" s="157"/>
      <c r="BQ181" s="160"/>
      <c r="BR181" s="150"/>
      <c r="BS181" s="150"/>
      <c r="BT181" s="176"/>
      <c r="BU181" s="168"/>
      <c r="BV181" s="149"/>
      <c r="BW181" s="149"/>
      <c r="BX181" s="157"/>
      <c r="BY181" s="160"/>
      <c r="BZ181" s="150"/>
      <c r="CA181" s="150"/>
      <c r="CB181" s="176"/>
      <c r="CC181" s="168"/>
      <c r="CD181" s="149"/>
      <c r="CE181" s="149"/>
      <c r="CF181" s="157"/>
      <c r="CG181" s="160"/>
      <c r="CH181" s="150"/>
      <c r="CI181" s="150"/>
      <c r="CJ181" s="176"/>
      <c r="CK181" s="168"/>
      <c r="CL181" s="149"/>
      <c r="CM181" s="149"/>
      <c r="CN181" s="157"/>
      <c r="CO181" s="160"/>
      <c r="CP181" s="150"/>
      <c r="CQ181" s="150"/>
      <c r="CR181" s="176"/>
      <c r="CS181" s="168"/>
      <c r="CT181" s="149"/>
      <c r="CU181" s="149"/>
      <c r="CV181" s="157"/>
      <c r="CW181" s="160"/>
      <c r="CX181" s="150"/>
      <c r="CY181" s="150"/>
      <c r="CZ181" s="176"/>
      <c r="DA181" s="168"/>
      <c r="DB181" s="149"/>
      <c r="DC181" s="149"/>
      <c r="DD181" s="157"/>
    </row>
    <row r="182" spans="2:108" x14ac:dyDescent="0.2">
      <c r="B182" s="183" t="s">
        <v>220</v>
      </c>
      <c r="C182" s="556">
        <v>4</v>
      </c>
      <c r="D182" s="168">
        <f>'Aqua - S1'!F31+'Aqua - S1'!F32</f>
        <v>48000</v>
      </c>
      <c r="E182" s="149"/>
      <c r="F182" s="149"/>
      <c r="G182" s="149"/>
      <c r="H182" s="168">
        <f>SUM(I182:AB182)</f>
        <v>50900.959287877304</v>
      </c>
      <c r="I182" s="610">
        <f>-PV(InterestRate,I$8,,(SUM(AC182:AF182)))</f>
        <v>0</v>
      </c>
      <c r="J182" s="610">
        <f>-PV(InterestRate,J$8,,(SUM(AG182:AJ182)))</f>
        <v>0</v>
      </c>
      <c r="K182" s="610">
        <f>-PV(InterestRate,K$8,,(SUM(AK182:AN182)))</f>
        <v>0</v>
      </c>
      <c r="L182" s="610">
        <f>-PV(InterestRate,L$8,,(SUM(AO182:AR182)))</f>
        <v>50900.959287877304</v>
      </c>
      <c r="M182" s="610">
        <f>-PV(InterestRate,M$8,,(SUM(AS182:AV182)))</f>
        <v>0</v>
      </c>
      <c r="N182" s="610">
        <f>-PV(InterestRate,N$8,,(SUM(AW182:AZ182)))</f>
        <v>0</v>
      </c>
      <c r="O182" s="610">
        <f>-PV(InterestRate,O$8,,(SUM(BA182:BD182)))</f>
        <v>0</v>
      </c>
      <c r="P182" s="610">
        <f>-PV(InterestRate,P$8,,(SUM(BE182:BH182)))</f>
        <v>0</v>
      </c>
      <c r="Q182" s="610">
        <f>-PV(InterestRate,Q$8,,(SUM(BI182:BL182)))</f>
        <v>0</v>
      </c>
      <c r="R182" s="610">
        <f>-PV(InterestRate,R$8,,(SUM(BM182:BP182)))</f>
        <v>0</v>
      </c>
      <c r="S182" s="610">
        <f>-PV(InterestRate,S$8,,(SUM(BQ182:BT182)))</f>
        <v>0</v>
      </c>
      <c r="T182" s="610">
        <f>-PV(InterestRate,T$8,,(SUM(BU182:BX182)))</f>
        <v>0</v>
      </c>
      <c r="U182" s="610">
        <f>-PV(InterestRate,U$8,,(SUM(BY182:CB182)))</f>
        <v>0</v>
      </c>
      <c r="V182" s="610">
        <f>-PV(InterestRate,V$8,,(SUM(CC182:CF182)))</f>
        <v>0</v>
      </c>
      <c r="W182" s="610">
        <f>-PV(InterestRate,W$8,,(SUM(CG182:CJ182)))</f>
        <v>0</v>
      </c>
      <c r="X182" s="610">
        <f>-PV(InterestRate,X$8,,(SUM(CK182:CN182)))</f>
        <v>0</v>
      </c>
      <c r="Y182" s="610">
        <f>-PV(InterestRate,Y$8,,(SUM(CO182:CR182)))</f>
        <v>0</v>
      </c>
      <c r="Z182" s="610">
        <f>-PV(InterestRate,Z$8,,(SUM(CS182:CV182)))</f>
        <v>0</v>
      </c>
      <c r="AA182" s="610">
        <f>-PV(InterestRate,AA$8,,(SUM(CW182:CZ182)))</f>
        <v>0</v>
      </c>
      <c r="AB182" s="611">
        <f>-PV(InterestRate,AB$8,,(SUM(DA182:DD182)))</f>
        <v>0</v>
      </c>
      <c r="AC182" s="160">
        <f>IF($C182&gt;0,(IF($C182=$AC$7,$D182,0)),0)</f>
        <v>0</v>
      </c>
      <c r="AD182" s="150">
        <f>IF($C182&gt;0,(IF($AC$7&gt;=$C182+1,$E182,0)),0)</f>
        <v>0</v>
      </c>
      <c r="AE182" s="150">
        <f>IF($C182&gt;0,(IF($C182=$AC$7,$F182,0)),0)</f>
        <v>0</v>
      </c>
      <c r="AF182" s="165">
        <f>IF($C182&gt;0,(IF($AC$7&gt;=$C182+1,$G182,0)),0)</f>
        <v>0</v>
      </c>
      <c r="AG182" s="168"/>
      <c r="AH182" s="149"/>
      <c r="AI182" s="149"/>
      <c r="AJ182" s="171"/>
      <c r="AK182" s="160"/>
      <c r="AL182" s="150"/>
      <c r="AM182" s="150"/>
      <c r="AN182" s="165"/>
      <c r="AO182" s="168">
        <f>IF($C182&gt;0,(IF($C182=$AO$7,(-FV(InflationRate,$AO$7,,$D182)),0)),0)</f>
        <v>54024.422879999998</v>
      </c>
      <c r="AP182" s="149">
        <f>IF($C182&gt;0,(IF($AO$7&gt;=$C182+1, (-FV(InflationRate,$AO$7,,$E182)), 0)),0)</f>
        <v>0</v>
      </c>
      <c r="AQ182" s="149">
        <f>IF($C182&gt;0,(IF($AO$7&gt;=$C182+1, (-FV(InflationRate,$AO$7,,$F182)), 0)),0)</f>
        <v>0</v>
      </c>
      <c r="AR182" s="157">
        <f>IF($C182&gt;0,(IF($AO$7&gt;=$C182+1, (-FV(InflationRate,$AO$7,,$G182)), 0)),0)</f>
        <v>0</v>
      </c>
      <c r="AS182" s="160">
        <f>IF($C182&gt;0,(IF($C182=$AS$7,(-FV(InflationRate,$AS$7,,$D182)),0)),0)</f>
        <v>0</v>
      </c>
      <c r="AT182" s="150">
        <f>IF($C182&gt;0,(IF($AS$7&gt;=$C182+1, (-FV(InflationRate,$AS$7,,$E182)), 0)),0)</f>
        <v>0</v>
      </c>
      <c r="AU182" s="150">
        <f>IF($C182&gt;0,(IF($AS$7&gt;=$C182+1, (-FV(InflationRate,$AS$7,,$F182)), 0)),0)</f>
        <v>0</v>
      </c>
      <c r="AV182" s="165">
        <f>IF($C182&gt;0,(IF($AS$7&gt;=$C182+1, (-FV(InflationRate,$AS$7,,$G182)), 0)),0)</f>
        <v>0</v>
      </c>
      <c r="AW182" s="168">
        <f>IF($C182&gt;0,(IF($C182=$AW$7,(-FV(InflationRate,$AW$7,,$D182)),0)),0)</f>
        <v>0</v>
      </c>
      <c r="AX182" s="149">
        <f>IF($C182&gt;0,(IF($AW$7&gt;=$C182+1, (-FV(InflationRate,$AW$7,,$E182)), 0)),0)</f>
        <v>0</v>
      </c>
      <c r="AY182" s="149">
        <f>IF($C182&gt;0,(IF($AW$7&gt;=$C182+1, (-FV(InflationRate,$AW$7,,$F182)), 0)),0)</f>
        <v>0</v>
      </c>
      <c r="AZ182" s="157">
        <f>IF($C182&gt;0,(IF($AW$7&gt;=$C182+1, (-FV(InflationRate,$AW$7,,$G182)), 0)),0)</f>
        <v>0</v>
      </c>
      <c r="BA182" s="160">
        <f>IF($C182&gt;0,(IF($C182=$BA$7,(-FV(InflationRate,$BA$7,,$D182)),0)),0)</f>
        <v>0</v>
      </c>
      <c r="BB182" s="150">
        <f>IF($C182&gt;0,(IF($BA$7&gt;=$C182+1, (-FV(InflationRate,$BA$7,,$E182)), 0)),0)</f>
        <v>0</v>
      </c>
      <c r="BC182" s="150">
        <f>IF($C182&gt;0,(IF($BA$7&gt;=$C182+1, (-FV(InflationRate,$BA$7,,$F182)), 0)),0)</f>
        <v>0</v>
      </c>
      <c r="BD182" s="176">
        <f>IF($C182&gt;0,(IF($BA$7&gt;=$C182+1, (-FV(InflationRate,$BA$7,,$G182)), 0)),0)</f>
        <v>0</v>
      </c>
      <c r="BE182" s="168">
        <f>IF($C182&gt;0,(IF($C182=$BE$7,(-FV(InflationRate,$BE$7,,$D182)),0)),0)</f>
        <v>0</v>
      </c>
      <c r="BF182" s="149">
        <f>IF($C182&gt;0,(IF($BE$7&gt;=$C182+1, (-FV(InflationRate,$BE$7,,$E182)), 0)),0)</f>
        <v>0</v>
      </c>
      <c r="BG182" s="149">
        <f>IF($C182&gt;0,(IF($BE$7&gt;=$C182+1, (-FV(InflationRate,$BE$7,,$F182)), 0)),0)</f>
        <v>0</v>
      </c>
      <c r="BH182" s="171">
        <f>IF($C182&gt;0,(IF($BE$7&gt;=$C182+1, (-FV(InflationRate,$BE$7,,$G182)), 0)),0)</f>
        <v>0</v>
      </c>
      <c r="BI182" s="160">
        <f>IF($C182&gt;0,(IF($C182=$BI$7,(-FV(InflationRate,$BI$7,,$D182)),0)),0)</f>
        <v>0</v>
      </c>
      <c r="BJ182" s="150">
        <f>IF($C182&gt;0,(IF($BI$7&gt;=$C182+1, (-FV(InflationRate,$BI$7,,$E182)), 0)),0)</f>
        <v>0</v>
      </c>
      <c r="BK182" s="150">
        <f>IF($C182&gt;0,(IF($BI$7&gt;=$C182+1, (-FV(InflationRate,$BI$7,,$F182)), 0)),0)</f>
        <v>0</v>
      </c>
      <c r="BL182" s="176">
        <f>IF($C182&gt;0,(IF($BI$7&gt;=$C182+1, (-FV(InflationRate,$BI$7,,$G182)), 0)),0)</f>
        <v>0</v>
      </c>
      <c r="BM182" s="168">
        <f>IF($C182&gt;0,(IF($C182=$BM$7,(-FV(InflationRate,$BM$7,,$D182)),0)),0)</f>
        <v>0</v>
      </c>
      <c r="BN182" s="149">
        <f>IF($C182&gt;0,(IF($BM$7&gt;=$C182+1, (-FV(InflationRate,$BM$7,,$E182)), 0)),0)</f>
        <v>0</v>
      </c>
      <c r="BO182" s="149">
        <f>IF($C182&gt;0,(IF($BM$7&gt;=$C182+1, (-FV(InflationRate,$BM$7,,$F182)), 0)),0)</f>
        <v>0</v>
      </c>
      <c r="BP182" s="157">
        <f>IF($C182&gt;0,(IF($BM$7&gt;=$C182+1, (-FV(InflationRate,$BM$7,,$G182)), 0)),0)</f>
        <v>0</v>
      </c>
      <c r="BQ182" s="160">
        <f>IF($C182&gt;0,(IF($C182=$BQ$7,(-FV(InflationRate,$BQ$7,,$D182)),0)),0)</f>
        <v>0</v>
      </c>
      <c r="BR182" s="150">
        <f>IF($C182&gt;0,(IF($BQ$7&gt;=$C182+1, (-FV(InflationRate,$BQ$7,,$E182)), 0)),0)</f>
        <v>0</v>
      </c>
      <c r="BS182" s="150">
        <f>IF($C182&gt;0,(IF($BQ$7&gt;=$C182+1, (-FV(InflationRate,$BQ$7,,$F182)), 0)),0)</f>
        <v>0</v>
      </c>
      <c r="BT182" s="176">
        <f>IF($C182&gt;0,(IF($BQ$7&gt;=$C182+1, (-FV(InflationRate,$BQ$7,,$G182)), 0)),0)</f>
        <v>0</v>
      </c>
      <c r="BU182" s="168">
        <f>IF($C182&gt;0,(IF($C182=$BU$7,(-FV(InflationRate,$BU$7,,$D182)),0)),0)</f>
        <v>0</v>
      </c>
      <c r="BV182" s="149">
        <f>IF($C182&gt;0,(IF($BU$7&gt;=$C182+1, (-FV(InflationRate,$BU$7,,$E182)), 0)),0)</f>
        <v>0</v>
      </c>
      <c r="BW182" s="149">
        <f>IF($C182&gt;0,(IF($BU$7&gt;=$C182+1, (-FV(InflationRate,$BU$7,,$F182)), 0)),0)</f>
        <v>0</v>
      </c>
      <c r="BX182" s="157">
        <f>IF($C182&gt;0,(IF($BU$7&gt;=$C182+1, (-FV(InflationRate,$BU$7,,$G182)), 0)),0)</f>
        <v>0</v>
      </c>
      <c r="BY182" s="160">
        <f>IF($C182&gt;0,(IF($C182=$BY$7,(-FV(InflationRate,$BY$7,,$D182)),0)),0)</f>
        <v>0</v>
      </c>
      <c r="BZ182" s="150">
        <f>IF($C182&gt;0,(IF($BY$7&gt;=$C182+1, (-FV(InflationRate,$BY$7,,$E182)), 0)),0)</f>
        <v>0</v>
      </c>
      <c r="CA182" s="150">
        <f>IF($C182&gt;0,(IF($BY$7&gt;=$C182+1, (-FV(InflationRate,$BY$7,,$F182)), 0)),0)</f>
        <v>0</v>
      </c>
      <c r="CB182" s="176">
        <f>IF($C182&gt;0,(IF($BY$7&gt;=$C182+1, (-FV(InflationRate,$BY$7,,$G182)), 0)),0)</f>
        <v>0</v>
      </c>
      <c r="CC182" s="168">
        <f>IF($C182&gt;0,(IF($C182=$CC$7,(-FV(InflationRate,$CC$7,,$D182)),0)),0)</f>
        <v>0</v>
      </c>
      <c r="CD182" s="149">
        <f>IF($C182&gt;0,(IF($CC$7&gt;=$C182+1, (-FV(InflationRate,$CC$7,,$E182)), 0)),0)</f>
        <v>0</v>
      </c>
      <c r="CE182" s="149">
        <f>IF($C182&gt;0,(IF($CC$7&gt;=$C182+1, (-FV(InflationRate,$CC$7,,$F182)), 0)),0)</f>
        <v>0</v>
      </c>
      <c r="CF182" s="157">
        <f>IF($C182&gt;0,(IF($CC$7&gt;=$C182+1, (-FV(InflationRate,$CC$7,,$G182)), 0)),0)</f>
        <v>0</v>
      </c>
      <c r="CG182" s="160">
        <f>IF($C182&gt;0,(IF($C182=$CG$7,(-FV(InflationRate,$CG$7,,$D182)),0)),0)</f>
        <v>0</v>
      </c>
      <c r="CH182" s="150">
        <f>IF($C182&gt;0,(IF($CG$7&gt;=$C182+1, (-FV(InflationRate,$CG$7,,$E182)), 0)),0)</f>
        <v>0</v>
      </c>
      <c r="CI182" s="150">
        <f>IF($C182&gt;0,(IF($CG$7&gt;=$C182+1, (-FV(InflationRate,$CG$7,,$F182)), 0)),0)</f>
        <v>0</v>
      </c>
      <c r="CJ182" s="176">
        <f>IF($C182&gt;0,(IF($CG$7&gt;=$C182+1, (-FV(InflationRate,$CG$7,,$G182)), 0)),0)</f>
        <v>0</v>
      </c>
      <c r="CK182" s="168">
        <f>IF($C182&gt;0,(IF($C182=$CK$7,(-FV(InflationRate,$CK$7,,$D182)),0)),0)</f>
        <v>0</v>
      </c>
      <c r="CL182" s="149">
        <f>IF($C182&gt;0,(IF($CK$7&gt;=$C182+1, (-FV(InflationRate,$CK$7,,$E182)), 0)),0)</f>
        <v>0</v>
      </c>
      <c r="CM182" s="149">
        <f>IF($C182&gt;0,(IF($CK$7&gt;=$C182+1, (-FV(InflationRate,$CK$7,,$F182)), 0)),0)</f>
        <v>0</v>
      </c>
      <c r="CN182" s="157">
        <f>IF($C182&gt;0,(IF($CK$7&gt;=$C182+1, (-FV(InflationRate,$CK$7,,$G182)), 0)),0)</f>
        <v>0</v>
      </c>
      <c r="CO182" s="160">
        <f>IF($C182&gt;0,(IF($C182=$CO$7,(-FV(InflationRate,$CO$7,,$D182)),0)),0)</f>
        <v>0</v>
      </c>
      <c r="CP182" s="150">
        <f>IF($C182&gt;0,(IF($CO$7&gt;=$C182+1, (-FV(InflationRate,$CO$7,,$E182)), 0)),0)</f>
        <v>0</v>
      </c>
      <c r="CQ182" s="150">
        <f>IF($C182&gt;0,(IF($CO$7&gt;=$C182+1, (-FV(InflationRate,$CO$7,,$F182)), 0)),0)</f>
        <v>0</v>
      </c>
      <c r="CR182" s="176">
        <f>IF($C182&gt;0,(IF($CO$7&gt;=$C182+1, (-FV(InflationRate,$CO$7,,$G182)), 0)),0)</f>
        <v>0</v>
      </c>
      <c r="CS182" s="168">
        <f>IF($C182&gt;0,(IF($C182=$CS$7,(-FV(InflationRate,$CS$7,,$D182)),0)),0)</f>
        <v>0</v>
      </c>
      <c r="CT182" s="149">
        <f>IF($C182&gt;0,(IF($CS$7&gt;=$C182+1, (-FV(InflationRate,$CS$7,,$E182)), 0)),0)</f>
        <v>0</v>
      </c>
      <c r="CU182" s="149">
        <f>IF($C182&gt;0,(IF($CS$7&gt;=$C182+1, (-FV(InflationRate,$CS$7,,$F182)), 0)),0)</f>
        <v>0</v>
      </c>
      <c r="CV182" s="157">
        <f>IF($C182&gt;0,(IF($CS$7&gt;=$C182+1, (-FV(InflationRate,$CS$7,,$G182)), 0)),0)</f>
        <v>0</v>
      </c>
      <c r="CW182" s="160">
        <f>IF($C182&gt;0,(IF($C182=$CW$7,(-FV(InflationRate,$CW$7,,$D182)),0)),0)</f>
        <v>0</v>
      </c>
      <c r="CX182" s="150">
        <f>IF($C182&gt;0,(IF($CW$7&gt;=$C182+1, (-FV(InflationRate,$CW$7,,$E182)), 0)),0)</f>
        <v>0</v>
      </c>
      <c r="CY182" s="150">
        <f>IF($C182&gt;0,(IF($CW$7&gt;=$C182+1, (-FV(InflationRate,$CW$7,,$F182)), 0)),0)</f>
        <v>0</v>
      </c>
      <c r="CZ182" s="176">
        <f>IF($C182&gt;0,(IF($CW$7&gt;=$C182+1, (-FV(InflationRate,$CW$7,,$G182)), 0)),0)</f>
        <v>0</v>
      </c>
      <c r="DA182" s="168">
        <f>IF($C182&gt;0,(IF($C182=$DA$7,(-FV(InflationRate,$DA$7,,$D182)),0)),0)</f>
        <v>0</v>
      </c>
      <c r="DB182" s="149">
        <f>IF($C182&gt;0,(IF($DA$7&gt;=$C182+1, (-FV(InflationRate,$DA$7,,$E182)), 0)),0)</f>
        <v>0</v>
      </c>
      <c r="DC182" s="149">
        <f>IF($C182&gt;0,(IF($DA$7&gt;=$C182+1, (-FV(InflationRate,$DA$7,,$F182)), 0)),0)</f>
        <v>0</v>
      </c>
      <c r="DD182" s="157">
        <f>IF($C182&gt;0,(IF($DA$7&gt;=$C182+1, (-FV(InflationRate,$DA$7,,$G182)), 0)),0)</f>
        <v>0</v>
      </c>
    </row>
    <row r="183" spans="2:108" x14ac:dyDescent="0.2">
      <c r="B183" s="183" t="s">
        <v>270</v>
      </c>
      <c r="C183" s="556">
        <v>5</v>
      </c>
      <c r="D183" s="168">
        <f>D181-D182</f>
        <v>384300</v>
      </c>
      <c r="E183" s="149">
        <f>E181</f>
        <v>283300</v>
      </c>
      <c r="F183" s="149"/>
      <c r="G183" s="149">
        <f>G181</f>
        <v>58900</v>
      </c>
      <c r="H183" s="168">
        <f>SUM(I183:AB183)</f>
        <v>6637534.7749784403</v>
      </c>
      <c r="I183" s="610">
        <f>-PV(InterestRate,I$8,,(SUM(AC183:AF183)))</f>
        <v>0</v>
      </c>
      <c r="J183" s="610">
        <f>-PV(InterestRate,J$8,,(SUM(AG183:AJ183)))</f>
        <v>0</v>
      </c>
      <c r="K183" s="610">
        <f>-PV(InterestRate,K$8,,(SUM(AK183:AN183)))</f>
        <v>0</v>
      </c>
      <c r="L183" s="610">
        <f>-PV(InterestRate,L$8,,(SUM(AO183:AR183)))</f>
        <v>0</v>
      </c>
      <c r="M183" s="610">
        <f>-PV(InterestRate,M$8,,(SUM(AS183:AV183)))</f>
        <v>413548.35414534452</v>
      </c>
      <c r="N183" s="610">
        <f>-PV(InterestRate,N$8,,(SUM(AW183:AZ183)))</f>
        <v>373686.2344360819</v>
      </c>
      <c r="O183" s="610">
        <f>-PV(InterestRate,O$8,,(SUM(BA183:BD183)))</f>
        <v>379208.69110262499</v>
      </c>
      <c r="P183" s="610">
        <f>-PV(InterestRate,P$8,,(SUM(BE183:BH183)))</f>
        <v>384812.76042926474</v>
      </c>
      <c r="Q183" s="610">
        <f>-PV(InterestRate,Q$8,,(SUM(BI183:BL183)))</f>
        <v>390499.64851442637</v>
      </c>
      <c r="R183" s="610">
        <f>-PV(InterestRate,R$8,,(SUM(BM183:BP183)))</f>
        <v>396270.57928064949</v>
      </c>
      <c r="S183" s="610">
        <f>-PV(InterestRate,S$8,,(SUM(BQ183:BT183)))</f>
        <v>402126.79473799904</v>
      </c>
      <c r="T183" s="610">
        <f>-PV(InterestRate,T$8,,(SUM(BU183:BX183)))</f>
        <v>408069.5552513685</v>
      </c>
      <c r="U183" s="610">
        <f>-PV(InterestRate,U$8,,(SUM(BY183:CB183)))</f>
        <v>414100.13981173356</v>
      </c>
      <c r="V183" s="610">
        <f>-PV(InterestRate,V$8,,(SUM(CC183:CF183)))</f>
        <v>420219.8463114145</v>
      </c>
      <c r="W183" s="610">
        <f>-PV(InterestRate,W$8,,(SUM(CG183:CJ183)))</f>
        <v>426429.99182340596</v>
      </c>
      <c r="X183" s="610">
        <f>-PV(InterestRate,X$8,,(SUM(CK183:CN183)))</f>
        <v>432731.91288483556</v>
      </c>
      <c r="Y183" s="610">
        <f>-PV(InterestRate,Y$8,,(SUM(CO183:CR183)))</f>
        <v>439126.96578461147</v>
      </c>
      <c r="Z183" s="610">
        <f>-PV(InterestRate,Z$8,,(SUM(CS183:CV183)))</f>
        <v>445616.52685532015</v>
      </c>
      <c r="AA183" s="610">
        <f>-PV(InterestRate,AA$8,,(SUM(CW183:CZ183)))</f>
        <v>452201.99276943819</v>
      </c>
      <c r="AB183" s="611">
        <f>-PV(InterestRate,AB$8,,(SUM(DA183:DD183)))</f>
        <v>458884.78083992261</v>
      </c>
      <c r="AC183" s="160">
        <f>IF($C183&gt;0,(IF($C183=$AC$7,$D183,0)),0)</f>
        <v>0</v>
      </c>
      <c r="AD183" s="150">
        <f>IF($C183&gt;0,(IF($AC$7&gt;=$C183+1,$E183,0)),0)</f>
        <v>0</v>
      </c>
      <c r="AE183" s="150">
        <f>IF($C183&gt;0,(IF($C183=$AC$7,$F183,0)),0)</f>
        <v>0</v>
      </c>
      <c r="AF183" s="165">
        <f>IF($C183&gt;0,(IF($AC$7&gt;=$C183+1,$G183,0)),0)</f>
        <v>0</v>
      </c>
      <c r="AG183" s="168"/>
      <c r="AH183" s="149"/>
      <c r="AI183" s="149"/>
      <c r="AJ183" s="171"/>
      <c r="AK183" s="160"/>
      <c r="AL183" s="150"/>
      <c r="AM183" s="150"/>
      <c r="AN183" s="165"/>
      <c r="AO183" s="168">
        <f>IF($C183&gt;0,(IF($C183=$AO$7,(-FV(InflationRate,$AO$7,,$D183)),0)),0)</f>
        <v>0</v>
      </c>
      <c r="AP183" s="149">
        <f>IF($C183&gt;0,(IF($AO$7&gt;=$C183+1, (-FV(InflationRate,$AO$7,,$E183)), 0)),0)</f>
        <v>0</v>
      </c>
      <c r="AQ183" s="149">
        <f>IF($C183&gt;0,(IF($AO$7&gt;=$C183+1, (-FV(InflationRate,$AO$7,,$F183)), 0)),0)</f>
        <v>0</v>
      </c>
      <c r="AR183" s="157">
        <f>IF($C183&gt;0,(IF($AO$7&gt;=$C183+1, (-FV(InflationRate,$AO$7,,$G183)), 0)),0)</f>
        <v>0</v>
      </c>
      <c r="AS183" s="160">
        <f>IF($C183&gt;0,(IF($C183=$AS$7,(-FV(InflationRate,$AS$7,,$D183)),0)),0)</f>
        <v>445509.02675348992</v>
      </c>
      <c r="AT183" s="150">
        <f>IF($C183&gt;0,(IF($AS$7&gt;=$C183+1, (-FV(InflationRate,$AS$7,,$E183)), 0)),0)</f>
        <v>0</v>
      </c>
      <c r="AU183" s="150">
        <f>IF($C183&gt;0,(IF($AS$7&gt;=$C183+1, (-FV(InflationRate,$AS$7,,$F183)), 0)),0)</f>
        <v>0</v>
      </c>
      <c r="AV183" s="165">
        <f>IF($C183&gt;0,(IF($AS$7&gt;=$C183+1, (-FV(InflationRate,$AS$7,,$G183)), 0)),0)</f>
        <v>0</v>
      </c>
      <c r="AW183" s="168">
        <f>IF($C183&gt;0,(IF($C183=$AW$7,(-FV(InflationRate,$AW$7,,$D183)),0)),0)</f>
        <v>0</v>
      </c>
      <c r="AX183" s="149">
        <f>IF($C183&gt;0,(IF($AW$7&gt;=$C183+1, (-FV(InflationRate,$AW$7,,$E183)), 0)),0)</f>
        <v>338275.01560666569</v>
      </c>
      <c r="AY183" s="149">
        <f>IF($C183&gt;0,(IF($AW$7&gt;=$C183+1, (-FV(InflationRate,$AW$7,,$F183)), 0)),0)</f>
        <v>0</v>
      </c>
      <c r="AZ183" s="157">
        <f>IF($C183&gt;0,(IF($AW$7&gt;=$C183+1, (-FV(InflationRate,$AW$7,,$G183)), 0)),0)</f>
        <v>70329.680265558098</v>
      </c>
      <c r="BA183" s="160">
        <f>IF($C183&gt;0,(IF($C183=$BA$7,(-FV(InflationRate,$BA$7,,$D183)),0)),0)</f>
        <v>0</v>
      </c>
      <c r="BB183" s="150">
        <f>IF($C183&gt;0,(IF($BA$7&gt;=$C183+1, (-FV(InflationRate,$BA$7,,$E183)), 0)),0)</f>
        <v>348423.26607486565</v>
      </c>
      <c r="BC183" s="150">
        <f>IF($C183&gt;0,(IF($BA$7&gt;=$C183+1, (-FV(InflationRate,$BA$7,,$F183)), 0)),0)</f>
        <v>0</v>
      </c>
      <c r="BD183" s="176">
        <f>IF($C183&gt;0,(IF($BA$7&gt;=$C183+1, (-FV(InflationRate,$BA$7,,$G183)), 0)),0)</f>
        <v>72439.570673524839</v>
      </c>
      <c r="BE183" s="168">
        <f>IF($C183&gt;0,(IF($C183=$BE$7,(-FV(InflationRate,$BE$7,,$D183)),0)),0)</f>
        <v>0</v>
      </c>
      <c r="BF183" s="149">
        <f>IF($C183&gt;0,(IF($BE$7&gt;=$C183+1, (-FV(InflationRate,$BE$7,,$E183)), 0)),0)</f>
        <v>358875.96405711159</v>
      </c>
      <c r="BG183" s="149">
        <f>IF($C183&gt;0,(IF($BE$7&gt;=$C183+1, (-FV(InflationRate,$BE$7,,$F183)), 0)),0)</f>
        <v>0</v>
      </c>
      <c r="BH183" s="171">
        <f>IF($C183&gt;0,(IF($BE$7&gt;=$C183+1, (-FV(InflationRate,$BE$7,,$G183)), 0)),0)</f>
        <v>74612.757793730576</v>
      </c>
      <c r="BI183" s="160">
        <f>IF($C183&gt;0,(IF($C183=$BI$7,(-FV(InflationRate,$BI$7,,$D183)),0)),0)</f>
        <v>0</v>
      </c>
      <c r="BJ183" s="150">
        <f>IF($C183&gt;0,(IF($BI$7&gt;=$C183+1, (-FV(InflationRate,$BI$7,,$E183)), 0)),0)</f>
        <v>369642.24297882494</v>
      </c>
      <c r="BK183" s="150">
        <f>IF($C183&gt;0,(IF($BI$7&gt;=$C183+1, (-FV(InflationRate,$BI$7,,$F183)), 0)),0)</f>
        <v>0</v>
      </c>
      <c r="BL183" s="176">
        <f>IF($C183&gt;0,(IF($BI$7&gt;=$C183+1, (-FV(InflationRate,$BI$7,,$G183)), 0)),0)</f>
        <v>76851.140527542491</v>
      </c>
      <c r="BM183" s="168">
        <f>IF($C183&gt;0,(IF($C183=$BM$7,(-FV(InflationRate,$BM$7,,$D183)),0)),0)</f>
        <v>0</v>
      </c>
      <c r="BN183" s="149">
        <f>IF($C183&gt;0,(IF($BM$7&gt;=$C183+1, (-FV(InflationRate,$BM$7,,$E183)), 0)),0)</f>
        <v>380731.51026818971</v>
      </c>
      <c r="BO183" s="149">
        <f>IF($C183&gt;0,(IF($BM$7&gt;=$C183+1, (-FV(InflationRate,$BM$7,,$F183)), 0)),0)</f>
        <v>0</v>
      </c>
      <c r="BP183" s="157">
        <f>IF($C183&gt;0,(IF($BM$7&gt;=$C183+1, (-FV(InflationRate,$BM$7,,$G183)), 0)),0)</f>
        <v>79156.674743368771</v>
      </c>
      <c r="BQ183" s="160">
        <f>IF($C183&gt;0,(IF($C183=$BQ$7,(-FV(InflationRate,$BQ$7,,$D183)),0)),0)</f>
        <v>0</v>
      </c>
      <c r="BR183" s="150">
        <f>IF($C183&gt;0,(IF($BQ$7&gt;=$C183+1, (-FV(InflationRate,$BQ$7,,$E183)), 0)),0)</f>
        <v>392153.45557623543</v>
      </c>
      <c r="BS183" s="150">
        <f>IF($C183&gt;0,(IF($BQ$7&gt;=$C183+1, (-FV(InflationRate,$BQ$7,,$F183)), 0)),0)</f>
        <v>0</v>
      </c>
      <c r="BT183" s="176">
        <f>IF($C183&gt;0,(IF($BQ$7&gt;=$C183+1, (-FV(InflationRate,$BQ$7,,$G183)), 0)),0)</f>
        <v>81531.374985669841</v>
      </c>
      <c r="BU183" s="168">
        <f>IF($C183&gt;0,(IF($C183=$BU$7,(-FV(InflationRate,$BU$7,,$D183)),0)),0)</f>
        <v>0</v>
      </c>
      <c r="BV183" s="149">
        <f>IF($C183&gt;0,(IF($BU$7&gt;=$C183+1, (-FV(InflationRate,$BU$7,,$E183)), 0)),0)</f>
        <v>403918.05924352241</v>
      </c>
      <c r="BW183" s="149">
        <f>IF($C183&gt;0,(IF($BU$7&gt;=$C183+1, (-FV(InflationRate,$BU$7,,$F183)), 0)),0)</f>
        <v>0</v>
      </c>
      <c r="BX183" s="157">
        <f>IF($C183&gt;0,(IF($BU$7&gt;=$C183+1, (-FV(InflationRate,$BU$7,,$G183)), 0)),0)</f>
        <v>83977.316235239923</v>
      </c>
      <c r="BY183" s="160">
        <f>IF($C183&gt;0,(IF($C183=$BY$7,(-FV(InflationRate,$BY$7,,$D183)),0)),0)</f>
        <v>0</v>
      </c>
      <c r="BZ183" s="150">
        <f>IF($C183&gt;0,(IF($BY$7&gt;=$C183+1, (-FV(InflationRate,$BY$7,,$E183)), 0)),0)</f>
        <v>416035.60102082806</v>
      </c>
      <c r="CA183" s="150">
        <f>IF($C183&gt;0,(IF($BY$7&gt;=$C183+1, (-FV(InflationRate,$BY$7,,$F183)), 0)),0)</f>
        <v>0</v>
      </c>
      <c r="CB183" s="176">
        <f>IF($C183&gt;0,(IF($BY$7&gt;=$C183+1, (-FV(InflationRate,$BY$7,,$G183)), 0)),0)</f>
        <v>86496.635722297113</v>
      </c>
      <c r="CC183" s="168">
        <f>IF($C183&gt;0,(IF($C183=$CC$7,(-FV(InflationRate,$CC$7,,$D183)),0)),0)</f>
        <v>0</v>
      </c>
      <c r="CD183" s="149">
        <f>IF($C183&gt;0,(IF($CC$7&gt;=$C183+1, (-FV(InflationRate,$CC$7,,$E183)), 0)),0)</f>
        <v>428516.66905145295</v>
      </c>
      <c r="CE183" s="149">
        <f>IF($C183&gt;0,(IF($CC$7&gt;=$C183+1, (-FV(InflationRate,$CC$7,,$F183)), 0)),0)</f>
        <v>0</v>
      </c>
      <c r="CF183" s="157">
        <f>IF($C183&gt;0,(IF($CC$7&gt;=$C183+1, (-FV(InflationRate,$CC$7,,$G183)), 0)),0)</f>
        <v>89091.534793966042</v>
      </c>
      <c r="CG183" s="160">
        <f>IF($C183&gt;0,(IF($C183=$CG$7,(-FV(InflationRate,$CG$7,,$D183)),0)),0)</f>
        <v>0</v>
      </c>
      <c r="CH183" s="150">
        <f>IF($C183&gt;0,(IF($CG$7&gt;=$C183+1, (-FV(InflationRate,$CG$7,,$E183)), 0)),0)</f>
        <v>441372.16912299657</v>
      </c>
      <c r="CI183" s="150">
        <f>IF($C183&gt;0,(IF($CG$7&gt;=$C183+1, (-FV(InflationRate,$CG$7,,$F183)), 0)),0)</f>
        <v>0</v>
      </c>
      <c r="CJ183" s="176">
        <f>IF($C183&gt;0,(IF($CG$7&gt;=$C183+1, (-FV(InflationRate,$CG$7,,$G183)), 0)),0)</f>
        <v>91764.280837785031</v>
      </c>
      <c r="CK183" s="168">
        <f>IF($C183&gt;0,(IF($C183=$CK$7,(-FV(InflationRate,$CK$7,,$D183)),0)),0)</f>
        <v>0</v>
      </c>
      <c r="CL183" s="149">
        <f>IF($C183&gt;0,(IF($CK$7&gt;=$C183+1, (-FV(InflationRate,$CK$7,,$E183)), 0)),0)</f>
        <v>454613.3341966864</v>
      </c>
      <c r="CM183" s="149">
        <f>IF($C183&gt;0,(IF($CK$7&gt;=$C183+1, (-FV(InflationRate,$CK$7,,$F183)), 0)),0)</f>
        <v>0</v>
      </c>
      <c r="CN183" s="157">
        <f>IF($C183&gt;0,(IF($CK$7&gt;=$C183+1, (-FV(InflationRate,$CK$7,,$G183)), 0)),0)</f>
        <v>94517.209262918564</v>
      </c>
      <c r="CO183" s="160">
        <f>IF($C183&gt;0,(IF($C183=$CO$7,(-FV(InflationRate,$CO$7,,$D183)),0)),0)</f>
        <v>0</v>
      </c>
      <c r="CP183" s="150">
        <f>IF($C183&gt;0,(IF($CO$7&gt;=$C183+1, (-FV(InflationRate,$CO$7,,$E183)), 0)),0)</f>
        <v>468251.73422258697</v>
      </c>
      <c r="CQ183" s="150">
        <f>IF($C183&gt;0,(IF($CO$7&gt;=$C183+1, (-FV(InflationRate,$CO$7,,$F183)), 0)),0)</f>
        <v>0</v>
      </c>
      <c r="CR183" s="176">
        <f>IF($C183&gt;0,(IF($CO$7&gt;=$C183+1, (-FV(InflationRate,$CO$7,,$G183)), 0)),0)</f>
        <v>97352.725540806117</v>
      </c>
      <c r="CS183" s="168">
        <f>IF($C183&gt;0,(IF($C183=$CS$7,(-FV(InflationRate,$CS$7,,$D183)),0)),0)</f>
        <v>0</v>
      </c>
      <c r="CT183" s="149">
        <f>IF($C183&gt;0,(IF($CS$7&gt;=$C183+1, (-FV(InflationRate,$CS$7,,$E183)), 0)),0)</f>
        <v>482299.28624926461</v>
      </c>
      <c r="CU183" s="149">
        <f>IF($C183&gt;0,(IF($CS$7&gt;=$C183+1, (-FV(InflationRate,$CS$7,,$F183)), 0)),0)</f>
        <v>0</v>
      </c>
      <c r="CV183" s="157">
        <f>IF($C183&gt;0,(IF($CS$7&gt;=$C183+1, (-FV(InflationRate,$CS$7,,$G183)), 0)),0)</f>
        <v>100273.30730703031</v>
      </c>
      <c r="CW183" s="160">
        <f>IF($C183&gt;0,(IF($C183=$CW$7,(-FV(InflationRate,$CW$7,,$D183)),0)),0)</f>
        <v>0</v>
      </c>
      <c r="CX183" s="150">
        <f>IF($C183&gt;0,(IF($CW$7&gt;=$C183+1, (-FV(InflationRate,$CW$7,,$E183)), 0)),0)</f>
        <v>496768.26483674248</v>
      </c>
      <c r="CY183" s="150">
        <f>IF($C183&gt;0,(IF($CW$7&gt;=$C183+1, (-FV(InflationRate,$CW$7,,$F183)), 0)),0)</f>
        <v>0</v>
      </c>
      <c r="CZ183" s="176">
        <f>IF($C183&gt;0,(IF($CW$7&gt;=$C183+1, (-FV(InflationRate,$CW$7,,$G183)), 0)),0)</f>
        <v>103281.50652624121</v>
      </c>
      <c r="DA183" s="168">
        <f>IF($C183&gt;0,(IF($C183=$DA$7,(-FV(InflationRate,$DA$7,,$D183)),0)),0)</f>
        <v>0</v>
      </c>
      <c r="DB183" s="149">
        <f>IF($C183&gt;0,(IF($DA$7&gt;=$C183+1, (-FV(InflationRate,$DA$7,,$E183)), 0)),0)</f>
        <v>511671.31278184475</v>
      </c>
      <c r="DC183" s="149">
        <f>IF($C183&gt;0,(IF($DA$7&gt;=$C183+1, (-FV(InflationRate,$DA$7,,$F183)), 0)),0)</f>
        <v>0</v>
      </c>
      <c r="DD183" s="157">
        <f>IF($C183&gt;0,(IF($DA$7&gt;=$C183+1, (-FV(InflationRate,$DA$7,,$G183)), 0)),0)</f>
        <v>106379.95172202845</v>
      </c>
    </row>
    <row r="184" spans="2:108" x14ac:dyDescent="0.2">
      <c r="B184" s="183" t="s">
        <v>203</v>
      </c>
      <c r="C184" s="556">
        <v>6</v>
      </c>
      <c r="D184" s="168"/>
      <c r="E184" s="149"/>
      <c r="F184" s="149">
        <f>F181</f>
        <v>426400</v>
      </c>
      <c r="G184" s="149"/>
      <c r="H184" s="168">
        <f>SUM(I184:AB184)</f>
        <v>7289795.4397419263</v>
      </c>
      <c r="I184" s="610">
        <f>-PV(InterestRate,I$8,,(SUM(AC184:AF184)))</f>
        <v>0</v>
      </c>
      <c r="J184" s="610">
        <f>-PV(InterestRate,J$8,,(SUM(AG184:AJ184)))</f>
        <v>0</v>
      </c>
      <c r="K184" s="610">
        <f>-PV(InterestRate,K$8,,(SUM(AK184:AN184)))</f>
        <v>0</v>
      </c>
      <c r="L184" s="610">
        <f>-PV(InterestRate,L$8,,(SUM(AO184:AR184)))</f>
        <v>0</v>
      </c>
      <c r="M184" s="610">
        <f>-PV(InterestRate,M$8,,(SUM(AS184:AV184)))</f>
        <v>0</v>
      </c>
      <c r="N184" s="610">
        <f>-PV(InterestRate,N$8,,(SUM(AW184:AZ184)))</f>
        <v>0</v>
      </c>
      <c r="O184" s="610">
        <f>-PV(InterestRate,O$8,,(SUM(BA184:BD184)))</f>
        <v>472514.86232074606</v>
      </c>
      <c r="P184" s="610">
        <f>-PV(InterestRate,P$8,,(SUM(BE184:BH184)))</f>
        <v>479497.84058164374</v>
      </c>
      <c r="Q184" s="610">
        <f>-PV(InterestRate,Q$8,,(SUM(BI184:BL184)))</f>
        <v>486584.01556560904</v>
      </c>
      <c r="R184" s="610">
        <f>-PV(InterestRate,R$8,,(SUM(BM184:BP184)))</f>
        <v>493774.91234736686</v>
      </c>
      <c r="S184" s="610">
        <f>-PV(InterestRate,S$8,,(SUM(BQ184:BT184)))</f>
        <v>501072.07853969256</v>
      </c>
      <c r="T184" s="610">
        <f>-PV(InterestRate,T$8,,(SUM(BU184:BX184)))</f>
        <v>508477.08462648612</v>
      </c>
      <c r="U184" s="610">
        <f>-PV(InterestRate,U$8,,(SUM(BY184:CB184)))</f>
        <v>515991.52430076909</v>
      </c>
      <c r="V184" s="610">
        <f>-PV(InterestRate,V$8,,(SUM(CC184:CF184)))</f>
        <v>523617.01480767719</v>
      </c>
      <c r="W184" s="610">
        <f>-PV(InterestRate,W$8,,(SUM(CG184:CJ184)))</f>
        <v>531355.19729251985</v>
      </c>
      <c r="X184" s="610">
        <f>-PV(InterestRate,X$8,,(SUM(CK184:CN184)))</f>
        <v>539207.73715398565</v>
      </c>
      <c r="Y184" s="610">
        <f>-PV(InterestRate,Y$8,,(SUM(CO184:CR184)))</f>
        <v>547176.32440256677</v>
      </c>
      <c r="Z184" s="610">
        <f>-PV(InterestRate,Z$8,,(SUM(CS184:CV184)))</f>
        <v>555262.6740242797</v>
      </c>
      <c r="AA184" s="610">
        <f>-PV(InterestRate,AA$8,,(SUM(CW184:CZ184)))</f>
        <v>563468.52634976164</v>
      </c>
      <c r="AB184" s="611">
        <f>-PV(InterestRate,AB$8,,(SUM(DA184:DD184)))</f>
        <v>571795.64742882235</v>
      </c>
      <c r="AC184" s="160">
        <f>IF($C184&gt;0,(IF($C184=$AC$7,$D184,0)),0)</f>
        <v>0</v>
      </c>
      <c r="AD184" s="150">
        <f>IF($C184&gt;0,(IF($AC$7&gt;=$C184+1,$E184,0)),0)</f>
        <v>0</v>
      </c>
      <c r="AE184" s="150">
        <f>IF($C184&gt;0,(IF($C184=$AC$7,$F184,0)),0)</f>
        <v>0</v>
      </c>
      <c r="AF184" s="165">
        <f>IF($C184&gt;0,(IF($AC$7&gt;=$C184+1,$G184,0)),0)</f>
        <v>0</v>
      </c>
      <c r="AG184" s="168"/>
      <c r="AH184" s="149"/>
      <c r="AI184" s="149"/>
      <c r="AJ184" s="171"/>
      <c r="AK184" s="160"/>
      <c r="AL184" s="150"/>
      <c r="AM184" s="150"/>
      <c r="AN184" s="165"/>
      <c r="AO184" s="168">
        <f>IF($C184&gt;0,(IF($C184=$AO$7,(-FV(InflationRate,$AO$7,,$D184)),0)),0)</f>
        <v>0</v>
      </c>
      <c r="AP184" s="149">
        <f>IF($C184&gt;0,(IF($AO$7&gt;=$C184+1, (-FV(InflationRate,$AO$7,,$E184)), 0)),0)</f>
        <v>0</v>
      </c>
      <c r="AQ184" s="149">
        <f>IF($C184&gt;0,(IF($AO$7&gt;=$C184+1, (-FV(InflationRate,$AO$7,,$F184)), 0)),0)</f>
        <v>0</v>
      </c>
      <c r="AR184" s="157">
        <f>IF($C184&gt;0,(IF($AO$7&gt;=$C184+1, (-FV(InflationRate,$AO$7,,$G184)), 0)),0)</f>
        <v>0</v>
      </c>
      <c r="AS184" s="160">
        <f>IF($C184&gt;0,(IF($C184=$AS$7,(-FV(InflationRate,$AS$7,,$D184)),0)),0)</f>
        <v>0</v>
      </c>
      <c r="AT184" s="150">
        <f>IF($C184&gt;0,(IF($AS$7&gt;=$C184+1, (-FV(InflationRate,$AS$7,,$E184)), 0)),0)</f>
        <v>0</v>
      </c>
      <c r="AU184" s="150">
        <f>IF($C184&gt;0,(IF($AS$7&gt;=$C184+1, (-FV(InflationRate,$AS$7,,$F184)), 0)),0)</f>
        <v>0</v>
      </c>
      <c r="AV184" s="165">
        <f>IF($C184&gt;0,(IF($AS$7&gt;=$C184+1, (-FV(InflationRate,$AS$7,,$G184)), 0)),0)</f>
        <v>0</v>
      </c>
      <c r="AW184" s="168">
        <f>IF($C184&gt;0,(IF($C184=$AW$7,(-FV(InflationRate,$AW$7,,$D184)),0)),0)</f>
        <v>0</v>
      </c>
      <c r="AX184" s="149">
        <f>IF($C184&gt;0,(IF($AW$7&gt;=$C184+1, (-FV(InflationRate,$AW$7,,$E184)), 0)),0)</f>
        <v>0</v>
      </c>
      <c r="AY184" s="149">
        <f>IF($C184&gt;0,(IF($AW$7&gt;=$C184+1, (-FV(InflationRate,$AW$7,,$F184)), 0)),0)</f>
        <v>0</v>
      </c>
      <c r="AZ184" s="157">
        <f>IF($C184&gt;0,(IF($AW$7&gt;=$C184+1, (-FV(InflationRate,$AW$7,,$G184)), 0)),0)</f>
        <v>0</v>
      </c>
      <c r="BA184" s="160">
        <f>IF($C184&gt;0,(IF($C184=$BA$7,(-FV(InflationRate,$BA$7,,$D184)),0)),0)</f>
        <v>0</v>
      </c>
      <c r="BB184" s="150">
        <f>IF($C184&gt;0,(IF($BA$7&gt;=$C184+1, (-FV(InflationRate,$BA$7,,$E184)), 0)),0)</f>
        <v>0</v>
      </c>
      <c r="BC184" s="150">
        <f>IF($C184&gt;0,(IF($BA$7&gt;=$C184+1, (-FV(InflationRate,$BA$7,,$F184)), 0)),0)</f>
        <v>524418.21621716453</v>
      </c>
      <c r="BD184" s="176">
        <f>IF($C184&gt;0,(IF($BA$7&gt;=$C184+1, (-FV(InflationRate,$BA$7,,$G184)), 0)),0)</f>
        <v>0</v>
      </c>
      <c r="BE184" s="168">
        <f>IF($C184&gt;0,(IF($C184=$BE$7,(-FV(InflationRate,$BE$7,,$D184)),0)),0)</f>
        <v>0</v>
      </c>
      <c r="BF184" s="149">
        <f>IF($C184&gt;0,(IF($BE$7&gt;=$C184+1, (-FV(InflationRate,$BE$7,,$E184)), 0)),0)</f>
        <v>0</v>
      </c>
      <c r="BG184" s="149">
        <f>IF($C184&gt;0,(IF($BE$7&gt;=$C184+1, (-FV(InflationRate,$BE$7,,$F184)), 0)),0)</f>
        <v>540150.76270367939</v>
      </c>
      <c r="BH184" s="171">
        <f>IF($C184&gt;0,(IF($BE$7&gt;=$C184+1, (-FV(InflationRate,$BE$7,,$G184)), 0)),0)</f>
        <v>0</v>
      </c>
      <c r="BI184" s="160">
        <f>IF($C184&gt;0,(IF($C184=$BI$7,(-FV(InflationRate,$BI$7,,$D184)),0)),0)</f>
        <v>0</v>
      </c>
      <c r="BJ184" s="150">
        <f>IF($C184&gt;0,(IF($BI$7&gt;=$C184+1, (-FV(InflationRate,$BI$7,,$E184)), 0)),0)</f>
        <v>0</v>
      </c>
      <c r="BK184" s="150">
        <f>IF($C184&gt;0,(IF($BI$7&gt;=$C184+1, (-FV(InflationRate,$BI$7,,$F184)), 0)),0)</f>
        <v>556355.28558478982</v>
      </c>
      <c r="BL184" s="176">
        <f>IF($C184&gt;0,(IF($BI$7&gt;=$C184+1, (-FV(InflationRate,$BI$7,,$G184)), 0)),0)</f>
        <v>0</v>
      </c>
      <c r="BM184" s="168">
        <f>IF($C184&gt;0,(IF($C184=$BM$7,(-FV(InflationRate,$BM$7,,$D184)),0)),0)</f>
        <v>0</v>
      </c>
      <c r="BN184" s="149">
        <f>IF($C184&gt;0,(IF($BM$7&gt;=$C184+1, (-FV(InflationRate,$BM$7,,$E184)), 0)),0)</f>
        <v>0</v>
      </c>
      <c r="BO184" s="149">
        <f>IF($C184&gt;0,(IF($BM$7&gt;=$C184+1, (-FV(InflationRate,$BM$7,,$F184)), 0)),0)</f>
        <v>573045.94415233354</v>
      </c>
      <c r="BP184" s="157">
        <f>IF($C184&gt;0,(IF($BM$7&gt;=$C184+1, (-FV(InflationRate,$BM$7,,$G184)), 0)),0)</f>
        <v>0</v>
      </c>
      <c r="BQ184" s="160">
        <f>IF($C184&gt;0,(IF($C184=$BQ$7,(-FV(InflationRate,$BQ$7,,$D184)),0)),0)</f>
        <v>0</v>
      </c>
      <c r="BR184" s="150">
        <f>IF($C184&gt;0,(IF($BQ$7&gt;=$C184+1, (-FV(InflationRate,$BQ$7,,$E184)), 0)),0)</f>
        <v>0</v>
      </c>
      <c r="BS184" s="150">
        <f>IF($C184&gt;0,(IF($BQ$7&gt;=$C184+1, (-FV(InflationRate,$BQ$7,,$F184)), 0)),0)</f>
        <v>590237.32247690356</v>
      </c>
      <c r="BT184" s="176">
        <f>IF($C184&gt;0,(IF($BQ$7&gt;=$C184+1, (-FV(InflationRate,$BQ$7,,$G184)), 0)),0)</f>
        <v>0</v>
      </c>
      <c r="BU184" s="168">
        <f>IF($C184&gt;0,(IF($C184=$BU$7,(-FV(InflationRate,$BU$7,,$D184)),0)),0)</f>
        <v>0</v>
      </c>
      <c r="BV184" s="149">
        <f>IF($C184&gt;0,(IF($BU$7&gt;=$C184+1, (-FV(InflationRate,$BU$7,,$E184)), 0)),0)</f>
        <v>0</v>
      </c>
      <c r="BW184" s="149">
        <f>IF($C184&gt;0,(IF($BU$7&gt;=$C184+1, (-FV(InflationRate,$BU$7,,$F184)), 0)),0)</f>
        <v>607944.44215121062</v>
      </c>
      <c r="BX184" s="157">
        <f>IF($C184&gt;0,(IF($BU$7&gt;=$C184+1, (-FV(InflationRate,$BU$7,,$G184)), 0)),0)</f>
        <v>0</v>
      </c>
      <c r="BY184" s="160">
        <f>IF($C184&gt;0,(IF($C184=$BY$7,(-FV(InflationRate,$BY$7,,$D184)),0)),0)</f>
        <v>0</v>
      </c>
      <c r="BZ184" s="150">
        <f>IF($C184&gt;0,(IF($BY$7&gt;=$C184+1, (-FV(InflationRate,$BY$7,,$E184)), 0)),0)</f>
        <v>0</v>
      </c>
      <c r="CA184" s="150">
        <f>IF($C184&gt;0,(IF($BY$7&gt;=$C184+1, (-FV(InflationRate,$BY$7,,$F184)), 0)),0)</f>
        <v>626182.77541574684</v>
      </c>
      <c r="CB184" s="176">
        <f>IF($C184&gt;0,(IF($BY$7&gt;=$C184+1, (-FV(InflationRate,$BY$7,,$G184)), 0)),0)</f>
        <v>0</v>
      </c>
      <c r="CC184" s="168">
        <f>IF($C184&gt;0,(IF($C184=$CC$7,(-FV(InflationRate,$CC$7,,$D184)),0)),0)</f>
        <v>0</v>
      </c>
      <c r="CD184" s="149">
        <f>IF($C184&gt;0,(IF($CC$7&gt;=$C184+1, (-FV(InflationRate,$CC$7,,$E184)), 0)),0)</f>
        <v>0</v>
      </c>
      <c r="CE184" s="149">
        <f>IF($C184&gt;0,(IF($CC$7&gt;=$C184+1, (-FV(InflationRate,$CC$7,,$F184)), 0)),0)</f>
        <v>644968.25867821928</v>
      </c>
      <c r="CF184" s="157">
        <f>IF($C184&gt;0,(IF($CC$7&gt;=$C184+1, (-FV(InflationRate,$CC$7,,$G184)), 0)),0)</f>
        <v>0</v>
      </c>
      <c r="CG184" s="160">
        <f>IF($C184&gt;0,(IF($C184=$CG$7,(-FV(InflationRate,$CG$7,,$D184)),0)),0)</f>
        <v>0</v>
      </c>
      <c r="CH184" s="150">
        <f>IF($C184&gt;0,(IF($CG$7&gt;=$C184+1, (-FV(InflationRate,$CG$7,,$E184)), 0)),0)</f>
        <v>0</v>
      </c>
      <c r="CI184" s="150">
        <f>IF($C184&gt;0,(IF($CG$7&gt;=$C184+1, (-FV(InflationRate,$CG$7,,$F184)), 0)),0)</f>
        <v>664317.30643856595</v>
      </c>
      <c r="CJ184" s="176">
        <f>IF($C184&gt;0,(IF($CG$7&gt;=$C184+1, (-FV(InflationRate,$CG$7,,$G184)), 0)),0)</f>
        <v>0</v>
      </c>
      <c r="CK184" s="168">
        <f>IF($C184&gt;0,(IF($C184=$CK$7,(-FV(InflationRate,$CK$7,,$D184)),0)),0)</f>
        <v>0</v>
      </c>
      <c r="CL184" s="149">
        <f>IF($C184&gt;0,(IF($CK$7&gt;=$C184+1, (-FV(InflationRate,$CK$7,,$E184)), 0)),0)</f>
        <v>0</v>
      </c>
      <c r="CM184" s="149">
        <f>IF($C184&gt;0,(IF($CK$7&gt;=$C184+1, (-FV(InflationRate,$CK$7,,$F184)), 0)),0)</f>
        <v>684246.82563172281</v>
      </c>
      <c r="CN184" s="157">
        <f>IF($C184&gt;0,(IF($CK$7&gt;=$C184+1, (-FV(InflationRate,$CK$7,,$G184)), 0)),0)</f>
        <v>0</v>
      </c>
      <c r="CO184" s="160">
        <f>IF($C184&gt;0,(IF($C184=$CO$7,(-FV(InflationRate,$CO$7,,$D184)),0)),0)</f>
        <v>0</v>
      </c>
      <c r="CP184" s="150">
        <f>IF($C184&gt;0,(IF($CO$7&gt;=$C184+1, (-FV(InflationRate,$CO$7,,$E184)), 0)),0)</f>
        <v>0</v>
      </c>
      <c r="CQ184" s="150">
        <f>IF($C184&gt;0,(IF($CO$7&gt;=$C184+1, (-FV(InflationRate,$CO$7,,$F184)), 0)),0)</f>
        <v>704774.23040067451</v>
      </c>
      <c r="CR184" s="176">
        <f>IF($C184&gt;0,(IF($CO$7&gt;=$C184+1, (-FV(InflationRate,$CO$7,,$G184)), 0)),0)</f>
        <v>0</v>
      </c>
      <c r="CS184" s="168">
        <f>IF($C184&gt;0,(IF($C184=$CS$7,(-FV(InflationRate,$CS$7,,$D184)),0)),0)</f>
        <v>0</v>
      </c>
      <c r="CT184" s="149">
        <f>IF($C184&gt;0,(IF($CS$7&gt;=$C184+1, (-FV(InflationRate,$CS$7,,$E184)), 0)),0)</f>
        <v>0</v>
      </c>
      <c r="CU184" s="149">
        <f>IF($C184&gt;0,(IF($CS$7&gt;=$C184+1, (-FV(InflationRate,$CS$7,,$F184)), 0)),0)</f>
        <v>725917.45731269475</v>
      </c>
      <c r="CV184" s="157">
        <f>IF($C184&gt;0,(IF($CS$7&gt;=$C184+1, (-FV(InflationRate,$CS$7,,$G184)), 0)),0)</f>
        <v>0</v>
      </c>
      <c r="CW184" s="160">
        <f>IF($C184&gt;0,(IF($C184=$CW$7,(-FV(InflationRate,$CW$7,,$D184)),0)),0)</f>
        <v>0</v>
      </c>
      <c r="CX184" s="150">
        <f>IF($C184&gt;0,(IF($CW$7&gt;=$C184+1, (-FV(InflationRate,$CW$7,,$E184)), 0)),0)</f>
        <v>0</v>
      </c>
      <c r="CY184" s="150">
        <f>IF($C184&gt;0,(IF($CW$7&gt;=$C184+1, (-FV(InflationRate,$CW$7,,$F184)), 0)),0)</f>
        <v>747694.98103207559</v>
      </c>
      <c r="CZ184" s="176">
        <f>IF($C184&gt;0,(IF($CW$7&gt;=$C184+1, (-FV(InflationRate,$CW$7,,$G184)), 0)),0)</f>
        <v>0</v>
      </c>
      <c r="DA184" s="168">
        <f>IF($C184&gt;0,(IF($C184=$DA$7,(-FV(InflationRate,$DA$7,,$D184)),0)),0)</f>
        <v>0</v>
      </c>
      <c r="DB184" s="149">
        <f>IF($C184&gt;0,(IF($DA$7&gt;=$C184+1, (-FV(InflationRate,$DA$7,,$E184)), 0)),0)</f>
        <v>0</v>
      </c>
      <c r="DC184" s="149">
        <f>IF($C184&gt;0,(IF($DA$7&gt;=$C184+1, (-FV(InflationRate,$DA$7,,$F184)), 0)),0)</f>
        <v>770125.83046303783</v>
      </c>
      <c r="DD184" s="157">
        <f>IF($C184&gt;0,(IF($DA$7&gt;=$C184+1, (-FV(InflationRate,$DA$7,,$G184)), 0)),0)</f>
        <v>0</v>
      </c>
    </row>
    <row r="185" spans="2:108" x14ac:dyDescent="0.2">
      <c r="B185" s="182"/>
      <c r="C185" s="189"/>
      <c r="D185" s="168"/>
      <c r="E185" s="149"/>
      <c r="F185" s="149"/>
      <c r="G185" s="149"/>
      <c r="H185" s="168"/>
      <c r="I185" s="600"/>
      <c r="J185" s="600"/>
      <c r="K185" s="600"/>
      <c r="L185" s="600"/>
      <c r="M185" s="600"/>
      <c r="N185" s="600"/>
      <c r="O185" s="600"/>
      <c r="P185" s="600"/>
      <c r="Q185" s="600"/>
      <c r="R185" s="600"/>
      <c r="S185" s="600"/>
      <c r="T185" s="600"/>
      <c r="U185" s="600"/>
      <c r="V185" s="600"/>
      <c r="W185" s="600"/>
      <c r="X185" s="600"/>
      <c r="Y185" s="600"/>
      <c r="Z185" s="600"/>
      <c r="AA185" s="600"/>
      <c r="AB185" s="601"/>
      <c r="AC185" s="160"/>
      <c r="AD185" s="150"/>
      <c r="AE185" s="150"/>
      <c r="AF185" s="165"/>
      <c r="AG185" s="168"/>
      <c r="AH185" s="149"/>
      <c r="AI185" s="149"/>
      <c r="AJ185" s="171"/>
      <c r="AK185" s="160"/>
      <c r="AL185" s="150"/>
      <c r="AM185" s="150"/>
      <c r="AN185" s="165"/>
      <c r="AO185" s="168"/>
      <c r="AP185" s="149"/>
      <c r="AQ185" s="149"/>
      <c r="AR185" s="157"/>
      <c r="AS185" s="160"/>
      <c r="AT185" s="150"/>
      <c r="AU185" s="150"/>
      <c r="AV185" s="165"/>
      <c r="AW185" s="168"/>
      <c r="AX185" s="149"/>
      <c r="AY185" s="149"/>
      <c r="AZ185" s="157"/>
      <c r="BA185" s="160"/>
      <c r="BB185" s="150"/>
      <c r="BC185" s="150"/>
      <c r="BD185" s="176"/>
      <c r="BE185" s="168"/>
      <c r="BF185" s="149"/>
      <c r="BG185" s="149"/>
      <c r="BH185" s="171"/>
      <c r="BI185" s="160"/>
      <c r="BJ185" s="150"/>
      <c r="BK185" s="150"/>
      <c r="BL185" s="176"/>
      <c r="BM185" s="168"/>
      <c r="BN185" s="149"/>
      <c r="BO185" s="149"/>
      <c r="BP185" s="157"/>
      <c r="BQ185" s="160"/>
      <c r="BR185" s="150"/>
      <c r="BS185" s="150"/>
      <c r="BT185" s="176"/>
      <c r="BU185" s="168"/>
      <c r="BV185" s="149"/>
      <c r="BW185" s="149"/>
      <c r="BX185" s="157"/>
      <c r="BY185" s="160"/>
      <c r="BZ185" s="150"/>
      <c r="CA185" s="150"/>
      <c r="CB185" s="176"/>
      <c r="CC185" s="168"/>
      <c r="CD185" s="149"/>
      <c r="CE185" s="149"/>
      <c r="CF185" s="157"/>
      <c r="CG185" s="160"/>
      <c r="CH185" s="150"/>
      <c r="CI185" s="150"/>
      <c r="CJ185" s="176"/>
      <c r="CK185" s="168"/>
      <c r="CL185" s="149"/>
      <c r="CM185" s="149"/>
      <c r="CN185" s="157"/>
      <c r="CO185" s="160"/>
      <c r="CP185" s="150"/>
      <c r="CQ185" s="150"/>
      <c r="CR185" s="176"/>
      <c r="CS185" s="168"/>
      <c r="CT185" s="149"/>
      <c r="CU185" s="149"/>
      <c r="CV185" s="157"/>
      <c r="CW185" s="160"/>
      <c r="CX185" s="150"/>
      <c r="CY185" s="150"/>
      <c r="CZ185" s="176"/>
      <c r="DA185" s="168"/>
      <c r="DB185" s="149"/>
      <c r="DC185" s="149"/>
      <c r="DD185" s="157"/>
    </row>
    <row r="186" spans="2:108" ht="24" x14ac:dyDescent="0.2">
      <c r="B186" s="182" t="str">
        <f>'Aqua - S2'!B5</f>
        <v>Aquaculture/Shellfish Propagation - Demonstration 2 - Quanset Pond Oyster Bed (2nd Year)</v>
      </c>
      <c r="C186" s="189"/>
      <c r="D186" s="194">
        <f>'Aqua - S2'!F34</f>
        <v>756700</v>
      </c>
      <c r="E186" s="195">
        <f>'Aqua - S2'!F63</f>
        <v>0</v>
      </c>
      <c r="F186" s="195">
        <f>'Aqua - S2'!F94</f>
        <v>0</v>
      </c>
      <c r="G186" s="195">
        <f>'Aqua - S2'!F123</f>
        <v>59500</v>
      </c>
      <c r="H186" s="168"/>
      <c r="I186" s="600"/>
      <c r="J186" s="600"/>
      <c r="K186" s="600"/>
      <c r="L186" s="600"/>
      <c r="M186" s="600"/>
      <c r="N186" s="600"/>
      <c r="O186" s="600"/>
      <c r="P186" s="600"/>
      <c r="Q186" s="600"/>
      <c r="R186" s="600"/>
      <c r="S186" s="600"/>
      <c r="T186" s="600"/>
      <c r="U186" s="600"/>
      <c r="V186" s="600"/>
      <c r="W186" s="600"/>
      <c r="X186" s="600"/>
      <c r="Y186" s="600"/>
      <c r="Z186" s="600"/>
      <c r="AA186" s="600"/>
      <c r="AB186" s="601"/>
      <c r="AC186" s="160"/>
      <c r="AD186" s="150"/>
      <c r="AE186" s="150"/>
      <c r="AF186" s="165"/>
      <c r="AG186" s="168"/>
      <c r="AH186" s="149"/>
      <c r="AI186" s="149"/>
      <c r="AJ186" s="171"/>
      <c r="AK186" s="160"/>
      <c r="AL186" s="150"/>
      <c r="AM186" s="150"/>
      <c r="AN186" s="165"/>
      <c r="AO186" s="168"/>
      <c r="AP186" s="149"/>
      <c r="AQ186" s="149"/>
      <c r="AR186" s="157"/>
      <c r="AS186" s="160"/>
      <c r="AT186" s="150"/>
      <c r="AU186" s="150"/>
      <c r="AV186" s="165"/>
      <c r="AW186" s="168"/>
      <c r="AX186" s="149"/>
      <c r="AY186" s="149"/>
      <c r="AZ186" s="157"/>
      <c r="BA186" s="160"/>
      <c r="BB186" s="150"/>
      <c r="BC186" s="150"/>
      <c r="BD186" s="176"/>
      <c r="BE186" s="168"/>
      <c r="BF186" s="149"/>
      <c r="BG186" s="149"/>
      <c r="BH186" s="171"/>
      <c r="BI186" s="160"/>
      <c r="BJ186" s="150"/>
      <c r="BK186" s="150"/>
      <c r="BL186" s="176"/>
      <c r="BM186" s="168"/>
      <c r="BN186" s="149"/>
      <c r="BO186" s="149"/>
      <c r="BP186" s="157"/>
      <c r="BQ186" s="160"/>
      <c r="BR186" s="150"/>
      <c r="BS186" s="150"/>
      <c r="BT186" s="176"/>
      <c r="BU186" s="168"/>
      <c r="BV186" s="149"/>
      <c r="BW186" s="149"/>
      <c r="BX186" s="157"/>
      <c r="BY186" s="160"/>
      <c r="BZ186" s="150"/>
      <c r="CA186" s="150"/>
      <c r="CB186" s="176"/>
      <c r="CC186" s="168"/>
      <c r="CD186" s="149"/>
      <c r="CE186" s="149"/>
      <c r="CF186" s="157"/>
      <c r="CG186" s="160"/>
      <c r="CH186" s="150"/>
      <c r="CI186" s="150"/>
      <c r="CJ186" s="176"/>
      <c r="CK186" s="168"/>
      <c r="CL186" s="149"/>
      <c r="CM186" s="149"/>
      <c r="CN186" s="157"/>
      <c r="CO186" s="160"/>
      <c r="CP186" s="150"/>
      <c r="CQ186" s="150"/>
      <c r="CR186" s="176"/>
      <c r="CS186" s="168"/>
      <c r="CT186" s="149"/>
      <c r="CU186" s="149"/>
      <c r="CV186" s="157"/>
      <c r="CW186" s="160"/>
      <c r="CX186" s="150"/>
      <c r="CY186" s="150"/>
      <c r="CZ186" s="176"/>
      <c r="DA186" s="168"/>
      <c r="DB186" s="149"/>
      <c r="DC186" s="149"/>
      <c r="DD186" s="157"/>
    </row>
    <row r="187" spans="2:108" x14ac:dyDescent="0.2">
      <c r="B187" s="183" t="s">
        <v>220</v>
      </c>
      <c r="C187" s="556">
        <v>2</v>
      </c>
      <c r="D187" s="168">
        <f>'Aqua - S2'!F31+'Aqua - S2'!F32</f>
        <v>84100</v>
      </c>
      <c r="E187" s="149"/>
      <c r="F187" s="149"/>
      <c r="G187" s="149"/>
      <c r="H187" s="168">
        <f>SUM(I187:AB187)</f>
        <v>0</v>
      </c>
      <c r="I187" s="610">
        <f>-PV(InterestRate,I$8,,(SUM(AC187:AF187)))</f>
        <v>0</v>
      </c>
      <c r="J187" s="610">
        <f>-PV(InterestRate,J$8,,(SUM(AG187:AJ187)))</f>
        <v>0</v>
      </c>
      <c r="K187" s="610">
        <f>-PV(InterestRate,K$8,,(SUM(AK187:AN187)))</f>
        <v>0</v>
      </c>
      <c r="L187" s="610">
        <f>-PV(InterestRate,L$8,,(SUM(AO187:AR187)))</f>
        <v>0</v>
      </c>
      <c r="M187" s="610">
        <f>-PV(InterestRate,M$8,,(SUM(AS187:AV187)))</f>
        <v>0</v>
      </c>
      <c r="N187" s="610">
        <f>-PV(InterestRate,N$8,,(SUM(AW187:AZ187)))</f>
        <v>0</v>
      </c>
      <c r="O187" s="610">
        <f>-PV(InterestRate,O$8,,(SUM(BA187:BD187)))</f>
        <v>0</v>
      </c>
      <c r="P187" s="610">
        <f>-PV(InterestRate,P$8,,(SUM(BE187:BH187)))</f>
        <v>0</v>
      </c>
      <c r="Q187" s="610">
        <f>-PV(InterestRate,Q$8,,(SUM(BI187:BL187)))</f>
        <v>0</v>
      </c>
      <c r="R187" s="610">
        <f>-PV(InterestRate,R$8,,(SUM(BM187:BP187)))</f>
        <v>0</v>
      </c>
      <c r="S187" s="610">
        <f>-PV(InterestRate,S$8,,(SUM(BQ187:BT187)))</f>
        <v>0</v>
      </c>
      <c r="T187" s="610">
        <f>-PV(InterestRate,T$8,,(SUM(BU187:BX187)))</f>
        <v>0</v>
      </c>
      <c r="U187" s="610">
        <f>-PV(InterestRate,U$8,,(SUM(BY187:CB187)))</f>
        <v>0</v>
      </c>
      <c r="V187" s="610">
        <f>-PV(InterestRate,V$8,,(SUM(CC187:CF187)))</f>
        <v>0</v>
      </c>
      <c r="W187" s="610">
        <f>-PV(InterestRate,W$8,,(SUM(CG187:CJ187)))</f>
        <v>0</v>
      </c>
      <c r="X187" s="610">
        <f>-PV(InterestRate,X$8,,(SUM(CK187:CN187)))</f>
        <v>0</v>
      </c>
      <c r="Y187" s="610">
        <f>-PV(InterestRate,Y$8,,(SUM(CO187:CR187)))</f>
        <v>0</v>
      </c>
      <c r="Z187" s="610">
        <f>-PV(InterestRate,Z$8,,(SUM(CS187:CV187)))</f>
        <v>0</v>
      </c>
      <c r="AA187" s="610">
        <f>-PV(InterestRate,AA$8,,(SUM(CW187:CZ187)))</f>
        <v>0</v>
      </c>
      <c r="AB187" s="611">
        <f>-PV(InterestRate,AB$8,,(SUM(DA187:DD187)))</f>
        <v>0</v>
      </c>
      <c r="AC187" s="160">
        <f>IF($C187&gt;0,(IF($C187=$AC$7,$D187,0)),0)</f>
        <v>0</v>
      </c>
      <c r="AD187" s="150">
        <f>IF($C187&gt;0,(IF($AC$7&gt;=$C187+1,$E187,0)),0)</f>
        <v>0</v>
      </c>
      <c r="AE187" s="150">
        <f>IF($C187&gt;0,(IF($C187=$AC$7,$F187,0)),0)</f>
        <v>0</v>
      </c>
      <c r="AF187" s="165">
        <f>IF($C187&gt;0,(IF($AC$7&gt;=$C187+1,$G187,0)),0)</f>
        <v>0</v>
      </c>
      <c r="AG187" s="168"/>
      <c r="AH187" s="149"/>
      <c r="AI187" s="149"/>
      <c r="AJ187" s="171"/>
      <c r="AK187" s="160"/>
      <c r="AL187" s="150"/>
      <c r="AM187" s="150"/>
      <c r="AN187" s="165"/>
      <c r="AO187" s="168">
        <f>IF($C187&gt;0,(IF($C187=$AO$7,(-FV(InflationRate,$AO$7,,$D187)),0)),0)</f>
        <v>0</v>
      </c>
      <c r="AP187" s="149">
        <f>IF($C187&gt;0,(IF($AO$7&gt;=$C187+1, (-FV(InflationRate,$AO$7,,$E187)), 0)),0)</f>
        <v>0</v>
      </c>
      <c r="AQ187" s="149">
        <f>IF($C187&gt;0,(IF($AO$7&gt;=$C187+1, (-FV(InflationRate,$AO$7,,$F187)), 0)),0)</f>
        <v>0</v>
      </c>
      <c r="AR187" s="157">
        <f>IF($C187&gt;0,(IF($AO$7&gt;=$C187+1, (-FV(InflationRate,$AO$7,,$G187)), 0)),0)</f>
        <v>0</v>
      </c>
      <c r="AS187" s="160">
        <f>IF($C187&gt;0,(IF($C187=$AS$7,(-FV(InflationRate,$AS$7,,$D187)),0)),0)</f>
        <v>0</v>
      </c>
      <c r="AT187" s="150">
        <f>IF($C187&gt;0,(IF($AS$7&gt;=$C187+1, (-FV(InflationRate,$AS$7,,$E187)), 0)),0)</f>
        <v>0</v>
      </c>
      <c r="AU187" s="150">
        <f>IF($C187&gt;0,(IF($AS$7&gt;=$C187+1, (-FV(InflationRate,$AS$7,,$F187)), 0)),0)</f>
        <v>0</v>
      </c>
      <c r="AV187" s="165">
        <f>IF($C187&gt;0,(IF($AS$7&gt;=$C187+1, (-FV(InflationRate,$AS$7,,$G187)), 0)),0)</f>
        <v>0</v>
      </c>
      <c r="AW187" s="168">
        <f>IF($C187&gt;0,(IF($C187=$AW$7,(-FV(InflationRate,$AW$7,,$D187)),0)),0)</f>
        <v>0</v>
      </c>
      <c r="AX187" s="149">
        <f>IF($C187&gt;0,(IF($AW$7&gt;=$C187+1, (-FV(InflationRate,$AW$7,,$E187)), 0)),0)</f>
        <v>0</v>
      </c>
      <c r="AY187" s="149">
        <f>IF($C187&gt;0,(IF($AW$7&gt;=$C187+1, (-FV(InflationRate,$AW$7,,$F187)), 0)),0)</f>
        <v>0</v>
      </c>
      <c r="AZ187" s="157">
        <f>IF($C187&gt;0,(IF($AW$7&gt;=$C187+1, (-FV(InflationRate,$AW$7,,$G187)), 0)),0)</f>
        <v>0</v>
      </c>
      <c r="BA187" s="160">
        <f>IF($C187&gt;0,(IF($C187=$BA$7,(-FV(InflationRate,$BA$7,,$D187)),0)),0)</f>
        <v>0</v>
      </c>
      <c r="BB187" s="150">
        <f>IF($C187&gt;0,(IF($BA$7&gt;=$C187+1, (-FV(InflationRate,$BA$7,,$E187)), 0)),0)</f>
        <v>0</v>
      </c>
      <c r="BC187" s="150">
        <f>IF($C187&gt;0,(IF($BA$7&gt;=$C187+1, (-FV(InflationRate,$BA$7,,$F187)), 0)),0)</f>
        <v>0</v>
      </c>
      <c r="BD187" s="176">
        <f>IF($C187&gt;0,(IF($BA$7&gt;=$C187+1, (-FV(InflationRate,$BA$7,,$G187)), 0)),0)</f>
        <v>0</v>
      </c>
      <c r="BE187" s="168">
        <f>IF($C187&gt;0,(IF($C187=$BE$7,(-FV(InflationRate,$BE$7,,$D187)),0)),0)</f>
        <v>0</v>
      </c>
      <c r="BF187" s="149">
        <f>IF($C187&gt;0,(IF($BE$7&gt;=$C187+1, (-FV(InflationRate,$BE$7,,$E187)), 0)),0)</f>
        <v>0</v>
      </c>
      <c r="BG187" s="149">
        <f>IF($C187&gt;0,(IF($BE$7&gt;=$C187+1, (-FV(InflationRate,$BE$7,,$F187)), 0)),0)</f>
        <v>0</v>
      </c>
      <c r="BH187" s="171">
        <f>IF($C187&gt;0,(IF($BE$7&gt;=$C187+1, (-FV(InflationRate,$BE$7,,$G187)), 0)),0)</f>
        <v>0</v>
      </c>
      <c r="BI187" s="160">
        <f>IF($C187&gt;0,(IF($C187=$BI$7,(-FV(InflationRate,$BI$7,,$D187)),0)),0)</f>
        <v>0</v>
      </c>
      <c r="BJ187" s="150">
        <f>IF($C187&gt;0,(IF($BI$7&gt;=$C187+1, (-FV(InflationRate,$BI$7,,$E187)), 0)),0)</f>
        <v>0</v>
      </c>
      <c r="BK187" s="150">
        <f>IF($C187&gt;0,(IF($BI$7&gt;=$C187+1, (-FV(InflationRate,$BI$7,,$F187)), 0)),0)</f>
        <v>0</v>
      </c>
      <c r="BL187" s="176">
        <f>IF($C187&gt;0,(IF($BI$7&gt;=$C187+1, (-FV(InflationRate,$BI$7,,$G187)), 0)),0)</f>
        <v>0</v>
      </c>
      <c r="BM187" s="168">
        <f>IF($C187&gt;0,(IF($C187=$BM$7,(-FV(InflationRate,$BM$7,,$D187)),0)),0)</f>
        <v>0</v>
      </c>
      <c r="BN187" s="149">
        <f>IF($C187&gt;0,(IF($BM$7&gt;=$C187+1, (-FV(InflationRate,$BM$7,,$E187)), 0)),0)</f>
        <v>0</v>
      </c>
      <c r="BO187" s="149">
        <f>IF($C187&gt;0,(IF($BM$7&gt;=$C187+1, (-FV(InflationRate,$BM$7,,$F187)), 0)),0)</f>
        <v>0</v>
      </c>
      <c r="BP187" s="157">
        <f>IF($C187&gt;0,(IF($BM$7&gt;=$C187+1, (-FV(InflationRate,$BM$7,,$G187)), 0)),0)</f>
        <v>0</v>
      </c>
      <c r="BQ187" s="160">
        <f>IF($C187&gt;0,(IF($C187=$BQ$7,(-FV(InflationRate,$BQ$7,,$D187)),0)),0)</f>
        <v>0</v>
      </c>
      <c r="BR187" s="150">
        <f>IF($C187&gt;0,(IF($BQ$7&gt;=$C187+1, (-FV(InflationRate,$BQ$7,,$E187)), 0)),0)</f>
        <v>0</v>
      </c>
      <c r="BS187" s="150">
        <f>IF($C187&gt;0,(IF($BQ$7&gt;=$C187+1, (-FV(InflationRate,$BQ$7,,$F187)), 0)),0)</f>
        <v>0</v>
      </c>
      <c r="BT187" s="176">
        <f>IF($C187&gt;0,(IF($BQ$7&gt;=$C187+1, (-FV(InflationRate,$BQ$7,,$G187)), 0)),0)</f>
        <v>0</v>
      </c>
      <c r="BU187" s="168">
        <f>IF($C187&gt;0,(IF($C187=$BU$7,(-FV(InflationRate,$BU$7,,$D187)),0)),0)</f>
        <v>0</v>
      </c>
      <c r="BV187" s="149">
        <f>IF($C187&gt;0,(IF($BU$7&gt;=$C187+1, (-FV(InflationRate,$BU$7,,$E187)), 0)),0)</f>
        <v>0</v>
      </c>
      <c r="BW187" s="149">
        <f>IF($C187&gt;0,(IF($BU$7&gt;=$C187+1, (-FV(InflationRate,$BU$7,,$F187)), 0)),0)</f>
        <v>0</v>
      </c>
      <c r="BX187" s="157">
        <f>IF($C187&gt;0,(IF($BU$7&gt;=$C187+1, (-FV(InflationRate,$BU$7,,$G187)), 0)),0)</f>
        <v>0</v>
      </c>
      <c r="BY187" s="160">
        <f>IF($C187&gt;0,(IF($C187=$BY$7,(-FV(InflationRate,$BY$7,,$D187)),0)),0)</f>
        <v>0</v>
      </c>
      <c r="BZ187" s="150">
        <f>IF($C187&gt;0,(IF($BY$7&gt;=$C187+1, (-FV(InflationRate,$BY$7,,$E187)), 0)),0)</f>
        <v>0</v>
      </c>
      <c r="CA187" s="150">
        <f>IF($C187&gt;0,(IF($BY$7&gt;=$C187+1, (-FV(InflationRate,$BY$7,,$F187)), 0)),0)</f>
        <v>0</v>
      </c>
      <c r="CB187" s="176">
        <f>IF($C187&gt;0,(IF($BY$7&gt;=$C187+1, (-FV(InflationRate,$BY$7,,$G187)), 0)),0)</f>
        <v>0</v>
      </c>
      <c r="CC187" s="168">
        <f>IF($C187&gt;0,(IF($C187=$CC$7,(-FV(InflationRate,$CC$7,,$D187)),0)),0)</f>
        <v>0</v>
      </c>
      <c r="CD187" s="149">
        <f>IF($C187&gt;0,(IF($CC$7&gt;=$C187+1, (-FV(InflationRate,$CC$7,,$E187)), 0)),0)</f>
        <v>0</v>
      </c>
      <c r="CE187" s="149">
        <f>IF($C187&gt;0,(IF($CC$7&gt;=$C187+1, (-FV(InflationRate,$CC$7,,$F187)), 0)),0)</f>
        <v>0</v>
      </c>
      <c r="CF187" s="157">
        <f>IF($C187&gt;0,(IF($CC$7&gt;=$C187+1, (-FV(InflationRate,$CC$7,,$G187)), 0)),0)</f>
        <v>0</v>
      </c>
      <c r="CG187" s="160">
        <f>IF($C187&gt;0,(IF($C187=$CG$7,(-FV(InflationRate,$CG$7,,$D187)),0)),0)</f>
        <v>0</v>
      </c>
      <c r="CH187" s="150">
        <f>IF($C187&gt;0,(IF($CG$7&gt;=$C187+1, (-FV(InflationRate,$CG$7,,$E187)), 0)),0)</f>
        <v>0</v>
      </c>
      <c r="CI187" s="150">
        <f>IF($C187&gt;0,(IF($CG$7&gt;=$C187+1, (-FV(InflationRate,$CG$7,,$F187)), 0)),0)</f>
        <v>0</v>
      </c>
      <c r="CJ187" s="176">
        <f>IF($C187&gt;0,(IF($CG$7&gt;=$C187+1, (-FV(InflationRate,$CG$7,,$G187)), 0)),0)</f>
        <v>0</v>
      </c>
      <c r="CK187" s="168">
        <f>IF($C187&gt;0,(IF($C187=$CK$7,(-FV(InflationRate,$CK$7,,$D187)),0)),0)</f>
        <v>0</v>
      </c>
      <c r="CL187" s="149">
        <f>IF($C187&gt;0,(IF($CK$7&gt;=$C187+1, (-FV(InflationRate,$CK$7,,$E187)), 0)),0)</f>
        <v>0</v>
      </c>
      <c r="CM187" s="149">
        <f>IF($C187&gt;0,(IF($CK$7&gt;=$C187+1, (-FV(InflationRate,$CK$7,,$F187)), 0)),0)</f>
        <v>0</v>
      </c>
      <c r="CN187" s="157">
        <f>IF($C187&gt;0,(IF($CK$7&gt;=$C187+1, (-FV(InflationRate,$CK$7,,$G187)), 0)),0)</f>
        <v>0</v>
      </c>
      <c r="CO187" s="160">
        <f>IF($C187&gt;0,(IF($C187=$CO$7,(-FV(InflationRate,$CO$7,,$D187)),0)),0)</f>
        <v>0</v>
      </c>
      <c r="CP187" s="150">
        <f>IF($C187&gt;0,(IF($CO$7&gt;=$C187+1, (-FV(InflationRate,$CO$7,,$E187)), 0)),0)</f>
        <v>0</v>
      </c>
      <c r="CQ187" s="150">
        <f>IF($C187&gt;0,(IF($CO$7&gt;=$C187+1, (-FV(InflationRate,$CO$7,,$F187)), 0)),0)</f>
        <v>0</v>
      </c>
      <c r="CR187" s="176">
        <f>IF($C187&gt;0,(IF($CO$7&gt;=$C187+1, (-FV(InflationRate,$CO$7,,$G187)), 0)),0)</f>
        <v>0</v>
      </c>
      <c r="CS187" s="168">
        <f>IF($C187&gt;0,(IF($C187=$CS$7,(-FV(InflationRate,$CS$7,,$D187)),0)),0)</f>
        <v>0</v>
      </c>
      <c r="CT187" s="149">
        <f>IF($C187&gt;0,(IF($CS$7&gt;=$C187+1, (-FV(InflationRate,$CS$7,,$E187)), 0)),0)</f>
        <v>0</v>
      </c>
      <c r="CU187" s="149">
        <f>IF($C187&gt;0,(IF($CS$7&gt;=$C187+1, (-FV(InflationRate,$CS$7,,$F187)), 0)),0)</f>
        <v>0</v>
      </c>
      <c r="CV187" s="157">
        <f>IF($C187&gt;0,(IF($CS$7&gt;=$C187+1, (-FV(InflationRate,$CS$7,,$G187)), 0)),0)</f>
        <v>0</v>
      </c>
      <c r="CW187" s="160">
        <f>IF($C187&gt;0,(IF($C187=$CW$7,(-FV(InflationRate,$CW$7,,$D187)),0)),0)</f>
        <v>0</v>
      </c>
      <c r="CX187" s="150">
        <f>IF($C187&gt;0,(IF($CW$7&gt;=$C187+1, (-FV(InflationRate,$CW$7,,$E187)), 0)),0)</f>
        <v>0</v>
      </c>
      <c r="CY187" s="150">
        <f>IF($C187&gt;0,(IF($CW$7&gt;=$C187+1, (-FV(InflationRate,$CW$7,,$F187)), 0)),0)</f>
        <v>0</v>
      </c>
      <c r="CZ187" s="176">
        <f>IF($C187&gt;0,(IF($CW$7&gt;=$C187+1, (-FV(InflationRate,$CW$7,,$G187)), 0)),0)</f>
        <v>0</v>
      </c>
      <c r="DA187" s="168">
        <f>IF($C187&gt;0,(IF($C187=$DA$7,(-FV(InflationRate,$DA$7,,$D187)),0)),0)</f>
        <v>0</v>
      </c>
      <c r="DB187" s="149">
        <f>IF($C187&gt;0,(IF($DA$7&gt;=$C187+1, (-FV(InflationRate,$DA$7,,$E187)), 0)),0)</f>
        <v>0</v>
      </c>
      <c r="DC187" s="149">
        <f>IF($C187&gt;0,(IF($DA$7&gt;=$C187+1, (-FV(InflationRate,$DA$7,,$F187)), 0)),0)</f>
        <v>0</v>
      </c>
      <c r="DD187" s="157">
        <f>IF($C187&gt;0,(IF($DA$7&gt;=$C187+1, (-FV(InflationRate,$DA$7,,$G187)), 0)),0)</f>
        <v>0</v>
      </c>
    </row>
    <row r="188" spans="2:108" x14ac:dyDescent="0.2">
      <c r="B188" s="183" t="s">
        <v>270</v>
      </c>
      <c r="C188" s="556">
        <v>3</v>
      </c>
      <c r="D188" s="168">
        <f>D186-D187</f>
        <v>672600</v>
      </c>
      <c r="E188" s="149">
        <f>E186</f>
        <v>0</v>
      </c>
      <c r="F188" s="149"/>
      <c r="G188" s="149">
        <f>G186</f>
        <v>59500</v>
      </c>
      <c r="H188" s="168">
        <f>SUM(I188:AB188)</f>
        <v>1209319.5987043476</v>
      </c>
      <c r="I188" s="610">
        <f>-PV(InterestRate,I$8,,(SUM(AC188:AF188)))</f>
        <v>0</v>
      </c>
      <c r="J188" s="610">
        <f>-PV(InterestRate,J$8,,(SUM(AG188:AJ188)))</f>
        <v>0</v>
      </c>
      <c r="K188" s="610">
        <f>-PV(InterestRate,K$8,,(SUM(AK188:AN188)))</f>
        <v>0</v>
      </c>
      <c r="L188" s="610">
        <f>-PV(InterestRate,L$8,,(SUM(AO188:AR188)))</f>
        <v>63095.980783931234</v>
      </c>
      <c r="M188" s="610">
        <f>-PV(InterestRate,M$8,,(SUM(AS188:AV188)))</f>
        <v>64028.433701920374</v>
      </c>
      <c r="N188" s="610">
        <f>-PV(InterestRate,N$8,,(SUM(AW188:AZ188)))</f>
        <v>64974.666712293598</v>
      </c>
      <c r="O188" s="610">
        <f>-PV(InterestRate,O$8,,(SUM(BA188:BD188)))</f>
        <v>65934.883461736375</v>
      </c>
      <c r="P188" s="610">
        <f>-PV(InterestRate,P$8,,(SUM(BE188:BH188)))</f>
        <v>66909.290606491093</v>
      </c>
      <c r="Q188" s="610">
        <f>-PV(InterestRate,Q$8,,(SUM(BI188:BL188)))</f>
        <v>67898.097856833352</v>
      </c>
      <c r="R188" s="610">
        <f>-PV(InterestRate,R$8,,(SUM(BM188:BP188)))</f>
        <v>68901.518022205273</v>
      </c>
      <c r="S188" s="610">
        <f>-PV(InterestRate,S$8,,(SUM(BQ188:BT188)))</f>
        <v>69919.767057016201</v>
      </c>
      <c r="T188" s="610">
        <f>-PV(InterestRate,T$8,,(SUM(BU188:BX188)))</f>
        <v>70953.064107119892</v>
      </c>
      <c r="U188" s="610">
        <f>-PV(InterestRate,U$8,,(SUM(BY188:CB188)))</f>
        <v>72001.631556978798</v>
      </c>
      <c r="V188" s="610">
        <f>-PV(InterestRate,V$8,,(SUM(CC188:CF188)))</f>
        <v>73065.695077525321</v>
      </c>
      <c r="W188" s="610">
        <f>-PV(InterestRate,W$8,,(SUM(CG188:CJ188)))</f>
        <v>74145.483674730131</v>
      </c>
      <c r="X188" s="610">
        <f>-PV(InterestRate,X$8,,(SUM(CK188:CN188)))</f>
        <v>75241.229738888709</v>
      </c>
      <c r="Y188" s="610">
        <f>-PV(InterestRate,Y$8,,(SUM(CO188:CR188)))</f>
        <v>76353.169094635843</v>
      </c>
      <c r="Z188" s="610">
        <f>-PV(InterestRate,Z$8,,(SUM(CS188:CV188)))</f>
        <v>77481.541051699431</v>
      </c>
      <c r="AA188" s="610">
        <f>-PV(InterestRate,AA$8,,(SUM(CW188:CZ188)))</f>
        <v>78626.588456404352</v>
      </c>
      <c r="AB188" s="611">
        <f>-PV(InterestRate,AB$8,,(SUM(DA188:DD188)))</f>
        <v>79788.557743937447</v>
      </c>
      <c r="AC188" s="160">
        <f>IF($C188&gt;0,(IF($C188=$AC$7,$D188,0)),0)</f>
        <v>0</v>
      </c>
      <c r="AD188" s="150">
        <f>IF($C188&gt;0,(IF($AC$7&gt;=$C188+1,$E188,0)),0)</f>
        <v>0</v>
      </c>
      <c r="AE188" s="150">
        <f>IF($C188&gt;0,(IF($C188=$AC$7,$F188,0)),0)</f>
        <v>0</v>
      </c>
      <c r="AF188" s="165">
        <f>IF($C188&gt;0,(IF($AC$7&gt;=$C188+1,$G188,0)),0)</f>
        <v>0</v>
      </c>
      <c r="AG188" s="168"/>
      <c r="AH188" s="149"/>
      <c r="AI188" s="149"/>
      <c r="AJ188" s="171"/>
      <c r="AK188" s="160"/>
      <c r="AL188" s="150"/>
      <c r="AM188" s="150"/>
      <c r="AN188" s="165"/>
      <c r="AO188" s="168">
        <f>IF($C188&gt;0,(IF($C188=$AO$7,(-FV(InflationRate,$AO$7,,$D188)),0)),0)</f>
        <v>0</v>
      </c>
      <c r="AP188" s="149">
        <f>IF($C188&gt;0,(IF($AO$7&gt;=$C188+1, (-FV(InflationRate,$AO$7,,$E188)), 0)),0)</f>
        <v>0</v>
      </c>
      <c r="AQ188" s="149">
        <f>IF($C188&gt;0,(IF($AO$7&gt;=$C188+1, (-FV(InflationRate,$AO$7,,$F188)), 0)),0)</f>
        <v>0</v>
      </c>
      <c r="AR188" s="157">
        <f>IF($C188&gt;0,(IF($AO$7&gt;=$C188+1, (-FV(InflationRate,$AO$7,,$G188)), 0)),0)</f>
        <v>66967.774194999991</v>
      </c>
      <c r="AS188" s="160">
        <f>IF($C188&gt;0,(IF($C188=$AS$7,(-FV(InflationRate,$AS$7,,$D188)),0)),0)</f>
        <v>0</v>
      </c>
      <c r="AT188" s="150">
        <f>IF($C188&gt;0,(IF($AS$7&gt;=$C188+1, (-FV(InflationRate,$AS$7,,$E188)), 0)),0)</f>
        <v>0</v>
      </c>
      <c r="AU188" s="150">
        <f>IF($C188&gt;0,(IF($AS$7&gt;=$C188+1, (-FV(InflationRate,$AS$7,,$F188)), 0)),0)</f>
        <v>0</v>
      </c>
      <c r="AV188" s="165">
        <f>IF($C188&gt;0,(IF($AS$7&gt;=$C188+1, (-FV(InflationRate,$AS$7,,$G188)), 0)),0)</f>
        <v>68976.807420849989</v>
      </c>
      <c r="AW188" s="168">
        <f>IF($C188&gt;0,(IF($C188=$AW$7,(-FV(InflationRate,$AW$7,,$D188)),0)),0)</f>
        <v>0</v>
      </c>
      <c r="AX188" s="149">
        <f>IF($C188&gt;0,(IF($AW$7&gt;=$C188+1, (-FV(InflationRate,$AW$7,,$E188)), 0)),0)</f>
        <v>0</v>
      </c>
      <c r="AY188" s="149">
        <f>IF($C188&gt;0,(IF($AW$7&gt;=$C188+1, (-FV(InflationRate,$AW$7,,$F188)), 0)),0)</f>
        <v>0</v>
      </c>
      <c r="AZ188" s="157">
        <f>IF($C188&gt;0,(IF($AW$7&gt;=$C188+1, (-FV(InflationRate,$AW$7,,$G188)), 0)),0)</f>
        <v>71046.111643475495</v>
      </c>
      <c r="BA188" s="160">
        <f>IF($C188&gt;0,(IF($C188=$BA$7,(-FV(InflationRate,$BA$7,,$D188)),0)),0)</f>
        <v>0</v>
      </c>
      <c r="BB188" s="150">
        <f>IF($C188&gt;0,(IF($BA$7&gt;=$C188+1, (-FV(InflationRate,$BA$7,,$E188)), 0)),0)</f>
        <v>0</v>
      </c>
      <c r="BC188" s="150">
        <f>IF($C188&gt;0,(IF($BA$7&gt;=$C188+1, (-FV(InflationRate,$BA$7,,$F188)), 0)),0)</f>
        <v>0</v>
      </c>
      <c r="BD188" s="176">
        <f>IF($C188&gt;0,(IF($BA$7&gt;=$C188+1, (-FV(InflationRate,$BA$7,,$G188)), 0)),0)</f>
        <v>73177.494992779757</v>
      </c>
      <c r="BE188" s="168">
        <f>IF($C188&gt;0,(IF($C188=$BE$7,(-FV(InflationRate,$BE$7,,$D188)),0)),0)</f>
        <v>0</v>
      </c>
      <c r="BF188" s="149">
        <f>IF($C188&gt;0,(IF($BE$7&gt;=$C188+1, (-FV(InflationRate,$BE$7,,$E188)), 0)),0)</f>
        <v>0</v>
      </c>
      <c r="BG188" s="149">
        <f>IF($C188&gt;0,(IF($BE$7&gt;=$C188+1, (-FV(InflationRate,$BE$7,,$F188)), 0)),0)</f>
        <v>0</v>
      </c>
      <c r="BH188" s="171">
        <f>IF($C188&gt;0,(IF($BE$7&gt;=$C188+1, (-FV(InflationRate,$BE$7,,$G188)), 0)),0)</f>
        <v>75372.819842563142</v>
      </c>
      <c r="BI188" s="160">
        <f>IF($C188&gt;0,(IF($C188=$BI$7,(-FV(InflationRate,$BI$7,,$D188)),0)),0)</f>
        <v>0</v>
      </c>
      <c r="BJ188" s="150">
        <f>IF($C188&gt;0,(IF($BI$7&gt;=$C188+1, (-FV(InflationRate,$BI$7,,$E188)), 0)),0)</f>
        <v>0</v>
      </c>
      <c r="BK188" s="150">
        <f>IF($C188&gt;0,(IF($BI$7&gt;=$C188+1, (-FV(InflationRate,$BI$7,,$F188)), 0)),0)</f>
        <v>0</v>
      </c>
      <c r="BL188" s="176">
        <f>IF($C188&gt;0,(IF($BI$7&gt;=$C188+1, (-FV(InflationRate,$BI$7,,$G188)), 0)),0)</f>
        <v>77634.004437840049</v>
      </c>
      <c r="BM188" s="168">
        <f>IF($C188&gt;0,(IF($C188=$BM$7,(-FV(InflationRate,$BM$7,,$D188)),0)),0)</f>
        <v>0</v>
      </c>
      <c r="BN188" s="149">
        <f>IF($C188&gt;0,(IF($BM$7&gt;=$C188+1, (-FV(InflationRate,$BM$7,,$E188)), 0)),0)</f>
        <v>0</v>
      </c>
      <c r="BO188" s="149">
        <f>IF($C188&gt;0,(IF($BM$7&gt;=$C188+1, (-FV(InflationRate,$BM$7,,$F188)), 0)),0)</f>
        <v>0</v>
      </c>
      <c r="BP188" s="157">
        <f>IF($C188&gt;0,(IF($BM$7&gt;=$C188+1, (-FV(InflationRate,$BM$7,,$G188)), 0)),0)</f>
        <v>79963.024570975249</v>
      </c>
      <c r="BQ188" s="160">
        <f>IF($C188&gt;0,(IF($C188=$BQ$7,(-FV(InflationRate,$BQ$7,,$D188)),0)),0)</f>
        <v>0</v>
      </c>
      <c r="BR188" s="150">
        <f>IF($C188&gt;0,(IF($BQ$7&gt;=$C188+1, (-FV(InflationRate,$BQ$7,,$E188)), 0)),0)</f>
        <v>0</v>
      </c>
      <c r="BS188" s="150">
        <f>IF($C188&gt;0,(IF($BQ$7&gt;=$C188+1, (-FV(InflationRate,$BQ$7,,$F188)), 0)),0)</f>
        <v>0</v>
      </c>
      <c r="BT188" s="176">
        <f>IF($C188&gt;0,(IF($BQ$7&gt;=$C188+1, (-FV(InflationRate,$BQ$7,,$G188)), 0)),0)</f>
        <v>82361.915308104508</v>
      </c>
      <c r="BU188" s="168">
        <f>IF($C188&gt;0,(IF($C188=$BU$7,(-FV(InflationRate,$BU$7,,$D188)),0)),0)</f>
        <v>0</v>
      </c>
      <c r="BV188" s="149">
        <f>IF($C188&gt;0,(IF($BU$7&gt;=$C188+1, (-FV(InflationRate,$BU$7,,$E188)), 0)),0)</f>
        <v>0</v>
      </c>
      <c r="BW188" s="149">
        <f>IF($C188&gt;0,(IF($BU$7&gt;=$C188+1, (-FV(InflationRate,$BU$7,,$F188)), 0)),0)</f>
        <v>0</v>
      </c>
      <c r="BX188" s="157">
        <f>IF($C188&gt;0,(IF($BU$7&gt;=$C188+1, (-FV(InflationRate,$BU$7,,$G188)), 0)),0)</f>
        <v>84832.772767347633</v>
      </c>
      <c r="BY188" s="160">
        <f>IF($C188&gt;0,(IF($C188=$BY$7,(-FV(InflationRate,$BY$7,,$D188)),0)),0)</f>
        <v>0</v>
      </c>
      <c r="BZ188" s="150">
        <f>IF($C188&gt;0,(IF($BY$7&gt;=$C188+1, (-FV(InflationRate,$BY$7,,$E188)), 0)),0)</f>
        <v>0</v>
      </c>
      <c r="CA188" s="150">
        <f>IF($C188&gt;0,(IF($BY$7&gt;=$C188+1, (-FV(InflationRate,$BY$7,,$F188)), 0)),0)</f>
        <v>0</v>
      </c>
      <c r="CB188" s="176">
        <f>IF($C188&gt;0,(IF($BY$7&gt;=$C188+1, (-FV(InflationRate,$BY$7,,$G188)), 0)),0)</f>
        <v>87377.755950368053</v>
      </c>
      <c r="CC188" s="168">
        <f>IF($C188&gt;0,(IF($C188=$CC$7,(-FV(InflationRate,$CC$7,,$D188)),0)),0)</f>
        <v>0</v>
      </c>
      <c r="CD188" s="149">
        <f>IF($C188&gt;0,(IF($CC$7&gt;=$C188+1, (-FV(InflationRate,$CC$7,,$E188)), 0)),0)</f>
        <v>0</v>
      </c>
      <c r="CE188" s="149">
        <f>IF($C188&gt;0,(IF($CC$7&gt;=$C188+1, (-FV(InflationRate,$CC$7,,$F188)), 0)),0)</f>
        <v>0</v>
      </c>
      <c r="CF188" s="157">
        <f>IF($C188&gt;0,(IF($CC$7&gt;=$C188+1, (-FV(InflationRate,$CC$7,,$G188)), 0)),0)</f>
        <v>89999.088628879108</v>
      </c>
      <c r="CG188" s="160">
        <f>IF($C188&gt;0,(IF($C188=$CG$7,(-FV(InflationRate,$CG$7,,$D188)),0)),0)</f>
        <v>0</v>
      </c>
      <c r="CH188" s="150">
        <f>IF($C188&gt;0,(IF($CG$7&gt;=$C188+1, (-FV(InflationRate,$CG$7,,$E188)), 0)),0)</f>
        <v>0</v>
      </c>
      <c r="CI188" s="150">
        <f>IF($C188&gt;0,(IF($CG$7&gt;=$C188+1, (-FV(InflationRate,$CG$7,,$F188)), 0)),0)</f>
        <v>0</v>
      </c>
      <c r="CJ188" s="176">
        <f>IF($C188&gt;0,(IF($CG$7&gt;=$C188+1, (-FV(InflationRate,$CG$7,,$G188)), 0)),0)</f>
        <v>92699.061287745484</v>
      </c>
      <c r="CK188" s="168">
        <f>IF($C188&gt;0,(IF($C188=$CK$7,(-FV(InflationRate,$CK$7,,$D188)),0)),0)</f>
        <v>0</v>
      </c>
      <c r="CL188" s="149">
        <f>IF($C188&gt;0,(IF($CK$7&gt;=$C188+1, (-FV(InflationRate,$CK$7,,$E188)), 0)),0)</f>
        <v>0</v>
      </c>
      <c r="CM188" s="149">
        <f>IF($C188&gt;0,(IF($CK$7&gt;=$C188+1, (-FV(InflationRate,$CK$7,,$F188)), 0)),0)</f>
        <v>0</v>
      </c>
      <c r="CN188" s="157">
        <f>IF($C188&gt;0,(IF($CK$7&gt;=$C188+1, (-FV(InflationRate,$CK$7,,$G188)), 0)),0)</f>
        <v>95480.033126377835</v>
      </c>
      <c r="CO188" s="160">
        <f>IF($C188&gt;0,(IF($C188=$CO$7,(-FV(InflationRate,$CO$7,,$D188)),0)),0)</f>
        <v>0</v>
      </c>
      <c r="CP188" s="150">
        <f>IF($C188&gt;0,(IF($CO$7&gt;=$C188+1, (-FV(InflationRate,$CO$7,,$E188)), 0)),0)</f>
        <v>0</v>
      </c>
      <c r="CQ188" s="150">
        <f>IF($C188&gt;0,(IF($CO$7&gt;=$C188+1, (-FV(InflationRate,$CO$7,,$F188)), 0)),0)</f>
        <v>0</v>
      </c>
      <c r="CR188" s="176">
        <f>IF($C188&gt;0,(IF($CO$7&gt;=$C188+1, (-FV(InflationRate,$CO$7,,$G188)), 0)),0)</f>
        <v>98344.434120169171</v>
      </c>
      <c r="CS188" s="168">
        <f>IF($C188&gt;0,(IF($C188=$CS$7,(-FV(InflationRate,$CS$7,,$D188)),0)),0)</f>
        <v>0</v>
      </c>
      <c r="CT188" s="149">
        <f>IF($C188&gt;0,(IF($CS$7&gt;=$C188+1, (-FV(InflationRate,$CS$7,,$E188)), 0)),0)</f>
        <v>0</v>
      </c>
      <c r="CU188" s="149">
        <f>IF($C188&gt;0,(IF($CS$7&gt;=$C188+1, (-FV(InflationRate,$CS$7,,$F188)), 0)),0)</f>
        <v>0</v>
      </c>
      <c r="CV188" s="157">
        <f>IF($C188&gt;0,(IF($CS$7&gt;=$C188+1, (-FV(InflationRate,$CS$7,,$G188)), 0)),0)</f>
        <v>101294.76714377424</v>
      </c>
      <c r="CW188" s="160">
        <f>IF($C188&gt;0,(IF($C188=$CW$7,(-FV(InflationRate,$CW$7,,$D188)),0)),0)</f>
        <v>0</v>
      </c>
      <c r="CX188" s="150">
        <f>IF($C188&gt;0,(IF($CW$7&gt;=$C188+1, (-FV(InflationRate,$CW$7,,$E188)), 0)),0)</f>
        <v>0</v>
      </c>
      <c r="CY188" s="150">
        <f>IF($C188&gt;0,(IF($CW$7&gt;=$C188+1, (-FV(InflationRate,$CW$7,,$F188)), 0)),0)</f>
        <v>0</v>
      </c>
      <c r="CZ188" s="176">
        <f>IF($C188&gt;0,(IF($CW$7&gt;=$C188+1, (-FV(InflationRate,$CW$7,,$G188)), 0)),0)</f>
        <v>104333.61015808747</v>
      </c>
      <c r="DA188" s="168">
        <f>IF($C188&gt;0,(IF($C188=$DA$7,(-FV(InflationRate,$DA$7,,$D188)),0)),0)</f>
        <v>0</v>
      </c>
      <c r="DB188" s="149">
        <f>IF($C188&gt;0,(IF($DA$7&gt;=$C188+1, (-FV(InflationRate,$DA$7,,$E188)), 0)),0)</f>
        <v>0</v>
      </c>
      <c r="DC188" s="149">
        <f>IF($C188&gt;0,(IF($DA$7&gt;=$C188+1, (-FV(InflationRate,$DA$7,,$F188)), 0)),0)</f>
        <v>0</v>
      </c>
      <c r="DD188" s="157">
        <f>IF($C188&gt;0,(IF($DA$7&gt;=$C188+1, (-FV(InflationRate,$DA$7,,$G188)), 0)),0)</f>
        <v>107463.61846283008</v>
      </c>
    </row>
    <row r="189" spans="2:108" x14ac:dyDescent="0.2">
      <c r="B189" s="183" t="s">
        <v>203</v>
      </c>
      <c r="C189" s="556"/>
      <c r="D189" s="168"/>
      <c r="E189" s="149"/>
      <c r="F189" s="149">
        <f>F186</f>
        <v>0</v>
      </c>
      <c r="G189" s="149"/>
      <c r="H189" s="168">
        <f>SUM(I189:AB189)</f>
        <v>0</v>
      </c>
      <c r="I189" s="610">
        <f>-PV(InterestRate,I$8,,(SUM(AC189:AF189)))</f>
        <v>0</v>
      </c>
      <c r="J189" s="610">
        <f>-PV(InterestRate,J$8,,(SUM(AG189:AJ189)))</f>
        <v>0</v>
      </c>
      <c r="K189" s="610">
        <f>-PV(InterestRate,K$8,,(SUM(AK189:AN189)))</f>
        <v>0</v>
      </c>
      <c r="L189" s="610">
        <f>-PV(InterestRate,L$8,,(SUM(AO189:AR189)))</f>
        <v>0</v>
      </c>
      <c r="M189" s="610">
        <f>-PV(InterestRate,M$8,,(SUM(AS189:AV189)))</f>
        <v>0</v>
      </c>
      <c r="N189" s="610">
        <f>-PV(InterestRate,N$8,,(SUM(AW189:AZ189)))</f>
        <v>0</v>
      </c>
      <c r="O189" s="610">
        <f>-PV(InterestRate,O$8,,(SUM(BA189:BD189)))</f>
        <v>0</v>
      </c>
      <c r="P189" s="610">
        <f>-PV(InterestRate,P$8,,(SUM(BE189:BH189)))</f>
        <v>0</v>
      </c>
      <c r="Q189" s="610">
        <f>-PV(InterestRate,Q$8,,(SUM(BI189:BL189)))</f>
        <v>0</v>
      </c>
      <c r="R189" s="610">
        <f>-PV(InterestRate,R$8,,(SUM(BM189:BP189)))</f>
        <v>0</v>
      </c>
      <c r="S189" s="610">
        <f>-PV(InterestRate,S$8,,(SUM(BQ189:BT189)))</f>
        <v>0</v>
      </c>
      <c r="T189" s="610">
        <f>-PV(InterestRate,T$8,,(SUM(BU189:BX189)))</f>
        <v>0</v>
      </c>
      <c r="U189" s="610">
        <f>-PV(InterestRate,U$8,,(SUM(BY189:CB189)))</f>
        <v>0</v>
      </c>
      <c r="V189" s="610">
        <f>-PV(InterestRate,V$8,,(SUM(CC189:CF189)))</f>
        <v>0</v>
      </c>
      <c r="W189" s="610">
        <f>-PV(InterestRate,W$8,,(SUM(CG189:CJ189)))</f>
        <v>0</v>
      </c>
      <c r="X189" s="610">
        <f>-PV(InterestRate,X$8,,(SUM(CK189:CN189)))</f>
        <v>0</v>
      </c>
      <c r="Y189" s="610">
        <f>-PV(InterestRate,Y$8,,(SUM(CO189:CR189)))</f>
        <v>0</v>
      </c>
      <c r="Z189" s="610">
        <f>-PV(InterestRate,Z$8,,(SUM(CS189:CV189)))</f>
        <v>0</v>
      </c>
      <c r="AA189" s="610">
        <f>-PV(InterestRate,AA$8,,(SUM(CW189:CZ189)))</f>
        <v>0</v>
      </c>
      <c r="AB189" s="611">
        <f>-PV(InterestRate,AB$8,,(SUM(DA189:DD189)))</f>
        <v>0</v>
      </c>
      <c r="AC189" s="160">
        <f>IF($C189&gt;0,(IF($C189=$AC$7,$D189,0)),0)</f>
        <v>0</v>
      </c>
      <c r="AD189" s="150">
        <f>IF($C189&gt;0,(IF($AC$7&gt;=$C189+1,$E189,0)),0)</f>
        <v>0</v>
      </c>
      <c r="AE189" s="150">
        <f>IF($C189&gt;0,(IF($C189=$AC$7,$F189,0)),0)</f>
        <v>0</v>
      </c>
      <c r="AF189" s="165">
        <f>IF($C189&gt;0,(IF($AC$7&gt;=$C189+1,$G189,0)),0)</f>
        <v>0</v>
      </c>
      <c r="AG189" s="168"/>
      <c r="AH189" s="149"/>
      <c r="AI189" s="149"/>
      <c r="AJ189" s="171"/>
      <c r="AK189" s="160"/>
      <c r="AL189" s="150"/>
      <c r="AM189" s="150"/>
      <c r="AN189" s="165"/>
      <c r="AO189" s="168">
        <f>IF($C189&gt;0,(IF($C189=$AO$7,(-FV(InflationRate,$AO$7,,$D189)),0)),0)</f>
        <v>0</v>
      </c>
      <c r="AP189" s="149">
        <f>IF($C189&gt;0,(IF($AO$7&gt;=$C189+1, (-FV(InflationRate,$AO$7,,$E189)), 0)),0)</f>
        <v>0</v>
      </c>
      <c r="AQ189" s="149">
        <f>IF($C189&gt;0,(IF($AO$7&gt;=$C189+1, (-FV(InflationRate,$AO$7,,$F189)), 0)),0)</f>
        <v>0</v>
      </c>
      <c r="AR189" s="157">
        <f>IF($C189&gt;0,(IF($AO$7&gt;=$C189+1, (-FV(InflationRate,$AO$7,,$G189)), 0)),0)</f>
        <v>0</v>
      </c>
      <c r="AS189" s="160">
        <f>IF($C189&gt;0,(IF($C189=$AS$7,(-FV(InflationRate,$AS$7,,$D189)),0)),0)</f>
        <v>0</v>
      </c>
      <c r="AT189" s="150">
        <f>IF($C189&gt;0,(IF($AS$7&gt;=$C189+1, (-FV(InflationRate,$AS$7,,$E189)), 0)),0)</f>
        <v>0</v>
      </c>
      <c r="AU189" s="150">
        <f>IF($C189&gt;0,(IF($AS$7&gt;=$C189+1, (-FV(InflationRate,$AS$7,,$F189)), 0)),0)</f>
        <v>0</v>
      </c>
      <c r="AV189" s="165">
        <f>IF($C189&gt;0,(IF($AS$7&gt;=$C189+1, (-FV(InflationRate,$AS$7,,$G189)), 0)),0)</f>
        <v>0</v>
      </c>
      <c r="AW189" s="168">
        <f>IF($C189&gt;0,(IF($C189=$AW$7,(-FV(InflationRate,$AW$7,,$D189)),0)),0)</f>
        <v>0</v>
      </c>
      <c r="AX189" s="149">
        <f>IF($C189&gt;0,(IF($AW$7&gt;=$C189+1, (-FV(InflationRate,$AW$7,,$E189)), 0)),0)</f>
        <v>0</v>
      </c>
      <c r="AY189" s="149">
        <f>IF($C189&gt;0,(IF($AW$7&gt;=$C189+1, (-FV(InflationRate,$AW$7,,$F189)), 0)),0)</f>
        <v>0</v>
      </c>
      <c r="AZ189" s="157">
        <f>IF($C189&gt;0,(IF($AW$7&gt;=$C189+1, (-FV(InflationRate,$AW$7,,$G189)), 0)),0)</f>
        <v>0</v>
      </c>
      <c r="BA189" s="160">
        <f>IF($C189&gt;0,(IF($C189=$BA$7,(-FV(InflationRate,$BA$7,,$D189)),0)),0)</f>
        <v>0</v>
      </c>
      <c r="BB189" s="150">
        <f>IF($C189&gt;0,(IF($BA$7&gt;=$C189+1, (-FV(InflationRate,$BA$7,,$E189)), 0)),0)</f>
        <v>0</v>
      </c>
      <c r="BC189" s="150">
        <f>IF($C189&gt;0,(IF($BA$7&gt;=$C189+1, (-FV(InflationRate,$BA$7,,$F189)), 0)),0)</f>
        <v>0</v>
      </c>
      <c r="BD189" s="176">
        <f>IF($C189&gt;0,(IF($BA$7&gt;=$C189+1, (-FV(InflationRate,$BA$7,,$G189)), 0)),0)</f>
        <v>0</v>
      </c>
      <c r="BE189" s="168">
        <f>IF($C189&gt;0,(IF($C189=$BE$7,(-FV(InflationRate,$BE$7,,$D189)),0)),0)</f>
        <v>0</v>
      </c>
      <c r="BF189" s="149">
        <f>IF($C189&gt;0,(IF($BE$7&gt;=$C189+1, (-FV(InflationRate,$BE$7,,$E189)), 0)),0)</f>
        <v>0</v>
      </c>
      <c r="BG189" s="149">
        <f>IF($C189&gt;0,(IF($BE$7&gt;=$C189+1, (-FV(InflationRate,$BE$7,,$F189)), 0)),0)</f>
        <v>0</v>
      </c>
      <c r="BH189" s="171">
        <f>IF($C189&gt;0,(IF($BE$7&gt;=$C189+1, (-FV(InflationRate,$BE$7,,$G189)), 0)),0)</f>
        <v>0</v>
      </c>
      <c r="BI189" s="160">
        <f>IF($C189&gt;0,(IF($C189=$BI$7,(-FV(InflationRate,$BI$7,,$D189)),0)),0)</f>
        <v>0</v>
      </c>
      <c r="BJ189" s="150">
        <f>IF($C189&gt;0,(IF($BI$7&gt;=$C189+1, (-FV(InflationRate,$BI$7,,$E189)), 0)),0)</f>
        <v>0</v>
      </c>
      <c r="BK189" s="150">
        <f>IF($C189&gt;0,(IF($BI$7&gt;=$C189+1, (-FV(InflationRate,$BI$7,,$F189)), 0)),0)</f>
        <v>0</v>
      </c>
      <c r="BL189" s="176">
        <f>IF($C189&gt;0,(IF($BI$7&gt;=$C189+1, (-FV(InflationRate,$BI$7,,$G189)), 0)),0)</f>
        <v>0</v>
      </c>
      <c r="BM189" s="168">
        <f>IF($C189&gt;0,(IF($C189=$BM$7,(-FV(InflationRate,$BM$7,,$D189)),0)),0)</f>
        <v>0</v>
      </c>
      <c r="BN189" s="149">
        <f>IF($C189&gt;0,(IF($BM$7&gt;=$C189+1, (-FV(InflationRate,$BM$7,,$E189)), 0)),0)</f>
        <v>0</v>
      </c>
      <c r="BO189" s="149">
        <f>IF($C189&gt;0,(IF($BM$7&gt;=$C189+1, (-FV(InflationRate,$BM$7,,$F189)), 0)),0)</f>
        <v>0</v>
      </c>
      <c r="BP189" s="157">
        <f>IF($C189&gt;0,(IF($BM$7&gt;=$C189+1, (-FV(InflationRate,$BM$7,,$G189)), 0)),0)</f>
        <v>0</v>
      </c>
      <c r="BQ189" s="160">
        <f>IF($C189&gt;0,(IF($C189=$BQ$7,(-FV(InflationRate,$BQ$7,,$D189)),0)),0)</f>
        <v>0</v>
      </c>
      <c r="BR189" s="150">
        <f>IF($C189&gt;0,(IF($BQ$7&gt;=$C189+1, (-FV(InflationRate,$BQ$7,,$E189)), 0)),0)</f>
        <v>0</v>
      </c>
      <c r="BS189" s="150">
        <f>IF($C189&gt;0,(IF($BQ$7&gt;=$C189+1, (-FV(InflationRate,$BQ$7,,$F189)), 0)),0)</f>
        <v>0</v>
      </c>
      <c r="BT189" s="176">
        <f>IF($C189&gt;0,(IF($BQ$7&gt;=$C189+1, (-FV(InflationRate,$BQ$7,,$G189)), 0)),0)</f>
        <v>0</v>
      </c>
      <c r="BU189" s="168">
        <f>IF($C189&gt;0,(IF($C189=$BU$7,(-FV(InflationRate,$BU$7,,$D189)),0)),0)</f>
        <v>0</v>
      </c>
      <c r="BV189" s="149">
        <f>IF($C189&gt;0,(IF($BU$7&gt;=$C189+1, (-FV(InflationRate,$BU$7,,$E189)), 0)),0)</f>
        <v>0</v>
      </c>
      <c r="BW189" s="149">
        <f>IF($C189&gt;0,(IF($BU$7&gt;=$C189+1, (-FV(InflationRate,$BU$7,,$F189)), 0)),0)</f>
        <v>0</v>
      </c>
      <c r="BX189" s="157">
        <f>IF($C189&gt;0,(IF($BU$7&gt;=$C189+1, (-FV(InflationRate,$BU$7,,$G189)), 0)),0)</f>
        <v>0</v>
      </c>
      <c r="BY189" s="160">
        <f>IF($C189&gt;0,(IF($C189=$BY$7,(-FV(InflationRate,$BY$7,,$D189)),0)),0)</f>
        <v>0</v>
      </c>
      <c r="BZ189" s="150">
        <f>IF($C189&gt;0,(IF($BY$7&gt;=$C189+1, (-FV(InflationRate,$BY$7,,$E189)), 0)),0)</f>
        <v>0</v>
      </c>
      <c r="CA189" s="150">
        <f>IF($C189&gt;0,(IF($BY$7&gt;=$C189+1, (-FV(InflationRate,$BY$7,,$F189)), 0)),0)</f>
        <v>0</v>
      </c>
      <c r="CB189" s="176">
        <f>IF($C189&gt;0,(IF($BY$7&gt;=$C189+1, (-FV(InflationRate,$BY$7,,$G189)), 0)),0)</f>
        <v>0</v>
      </c>
      <c r="CC189" s="168">
        <f>IF($C189&gt;0,(IF($C189=$CC$7,(-FV(InflationRate,$CC$7,,$D189)),0)),0)</f>
        <v>0</v>
      </c>
      <c r="CD189" s="149">
        <f>IF($C189&gt;0,(IF($CC$7&gt;=$C189+1, (-FV(InflationRate,$CC$7,,$E189)), 0)),0)</f>
        <v>0</v>
      </c>
      <c r="CE189" s="149">
        <f>IF($C189&gt;0,(IF($CC$7&gt;=$C189+1, (-FV(InflationRate,$CC$7,,$F189)), 0)),0)</f>
        <v>0</v>
      </c>
      <c r="CF189" s="157">
        <f>IF($C189&gt;0,(IF($CC$7&gt;=$C189+1, (-FV(InflationRate,$CC$7,,$G189)), 0)),0)</f>
        <v>0</v>
      </c>
      <c r="CG189" s="160">
        <f>IF($C189&gt;0,(IF($C189=$CG$7,(-FV(InflationRate,$CG$7,,$D189)),0)),0)</f>
        <v>0</v>
      </c>
      <c r="CH189" s="150">
        <f>IF($C189&gt;0,(IF($CG$7&gt;=$C189+1, (-FV(InflationRate,$CG$7,,$E189)), 0)),0)</f>
        <v>0</v>
      </c>
      <c r="CI189" s="150">
        <f>IF($C189&gt;0,(IF($CG$7&gt;=$C189+1, (-FV(InflationRate,$CG$7,,$F189)), 0)),0)</f>
        <v>0</v>
      </c>
      <c r="CJ189" s="176">
        <f>IF($C189&gt;0,(IF($CG$7&gt;=$C189+1, (-FV(InflationRate,$CG$7,,$G189)), 0)),0)</f>
        <v>0</v>
      </c>
      <c r="CK189" s="168">
        <f>IF($C189&gt;0,(IF($C189=$CK$7,(-FV(InflationRate,$CK$7,,$D189)),0)),0)</f>
        <v>0</v>
      </c>
      <c r="CL189" s="149">
        <f>IF($C189&gt;0,(IF($CK$7&gt;=$C189+1, (-FV(InflationRate,$CK$7,,$E189)), 0)),0)</f>
        <v>0</v>
      </c>
      <c r="CM189" s="149">
        <f>IF($C189&gt;0,(IF($CK$7&gt;=$C189+1, (-FV(InflationRate,$CK$7,,$F189)), 0)),0)</f>
        <v>0</v>
      </c>
      <c r="CN189" s="157">
        <f>IF($C189&gt;0,(IF($CK$7&gt;=$C189+1, (-FV(InflationRate,$CK$7,,$G189)), 0)),0)</f>
        <v>0</v>
      </c>
      <c r="CO189" s="160">
        <f>IF($C189&gt;0,(IF($C189=$CO$7,(-FV(InflationRate,$CO$7,,$D189)),0)),0)</f>
        <v>0</v>
      </c>
      <c r="CP189" s="150">
        <f>IF($C189&gt;0,(IF($CO$7&gt;=$C189+1, (-FV(InflationRate,$CO$7,,$E189)), 0)),0)</f>
        <v>0</v>
      </c>
      <c r="CQ189" s="150">
        <f>IF($C189&gt;0,(IF($CO$7&gt;=$C189+1, (-FV(InflationRate,$CO$7,,$F189)), 0)),0)</f>
        <v>0</v>
      </c>
      <c r="CR189" s="176">
        <f>IF($C189&gt;0,(IF($CO$7&gt;=$C189+1, (-FV(InflationRate,$CO$7,,$G189)), 0)),0)</f>
        <v>0</v>
      </c>
      <c r="CS189" s="168">
        <f>IF($C189&gt;0,(IF($C189=$CS$7,(-FV(InflationRate,$CS$7,,$D189)),0)),0)</f>
        <v>0</v>
      </c>
      <c r="CT189" s="149">
        <f>IF($C189&gt;0,(IF($CS$7&gt;=$C189+1, (-FV(InflationRate,$CS$7,,$E189)), 0)),0)</f>
        <v>0</v>
      </c>
      <c r="CU189" s="149">
        <f>IF($C189&gt;0,(IF($CS$7&gt;=$C189+1, (-FV(InflationRate,$CS$7,,$F189)), 0)),0)</f>
        <v>0</v>
      </c>
      <c r="CV189" s="157">
        <f>IF($C189&gt;0,(IF($CS$7&gt;=$C189+1, (-FV(InflationRate,$CS$7,,$G189)), 0)),0)</f>
        <v>0</v>
      </c>
      <c r="CW189" s="160">
        <f>IF($C189&gt;0,(IF($C189=$CW$7,(-FV(InflationRate,$CW$7,,$D189)),0)),0)</f>
        <v>0</v>
      </c>
      <c r="CX189" s="150">
        <f>IF($C189&gt;0,(IF($CW$7&gt;=$C189+1, (-FV(InflationRate,$CW$7,,$E189)), 0)),0)</f>
        <v>0</v>
      </c>
      <c r="CY189" s="150">
        <f>IF($C189&gt;0,(IF($CW$7&gt;=$C189+1, (-FV(InflationRate,$CW$7,,$F189)), 0)),0)</f>
        <v>0</v>
      </c>
      <c r="CZ189" s="176">
        <f>IF($C189&gt;0,(IF($CW$7&gt;=$C189+1, (-FV(InflationRate,$CW$7,,$G189)), 0)),0)</f>
        <v>0</v>
      </c>
      <c r="DA189" s="168">
        <f>IF($C189&gt;0,(IF($C189=$DA$7,(-FV(InflationRate,$DA$7,,$D189)),0)),0)</f>
        <v>0</v>
      </c>
      <c r="DB189" s="149">
        <f>IF($C189&gt;0,(IF($DA$7&gt;=$C189+1, (-FV(InflationRate,$DA$7,,$E189)), 0)),0)</f>
        <v>0</v>
      </c>
      <c r="DC189" s="149">
        <f>IF($C189&gt;0,(IF($DA$7&gt;=$C189+1, (-FV(InflationRate,$DA$7,,$F189)), 0)),0)</f>
        <v>0</v>
      </c>
      <c r="DD189" s="157">
        <f>IF($C189&gt;0,(IF($DA$7&gt;=$C189+1, (-FV(InflationRate,$DA$7,,$G189)), 0)),0)</f>
        <v>0</v>
      </c>
    </row>
    <row r="190" spans="2:108" x14ac:dyDescent="0.2">
      <c r="B190" s="182"/>
      <c r="C190" s="189"/>
      <c r="D190" s="168"/>
      <c r="E190" s="149"/>
      <c r="F190" s="149"/>
      <c r="G190" s="149"/>
      <c r="H190" s="168"/>
      <c r="I190" s="600"/>
      <c r="J190" s="600"/>
      <c r="K190" s="600"/>
      <c r="L190" s="600"/>
      <c r="M190" s="600"/>
      <c r="N190" s="600"/>
      <c r="O190" s="600"/>
      <c r="P190" s="600"/>
      <c r="Q190" s="600"/>
      <c r="R190" s="600"/>
      <c r="S190" s="600"/>
      <c r="T190" s="600"/>
      <c r="U190" s="600"/>
      <c r="V190" s="600"/>
      <c r="W190" s="600"/>
      <c r="X190" s="600"/>
      <c r="Y190" s="600"/>
      <c r="Z190" s="600"/>
      <c r="AA190" s="600"/>
      <c r="AB190" s="601"/>
      <c r="AC190" s="160"/>
      <c r="AD190" s="150"/>
      <c r="AE190" s="150"/>
      <c r="AF190" s="165"/>
      <c r="AG190" s="168"/>
      <c r="AH190" s="149"/>
      <c r="AI190" s="149"/>
      <c r="AJ190" s="171"/>
      <c r="AK190" s="160"/>
      <c r="AL190" s="150"/>
      <c r="AM190" s="150"/>
      <c r="AN190" s="165"/>
      <c r="AO190" s="168"/>
      <c r="AP190" s="149"/>
      <c r="AQ190" s="149"/>
      <c r="AR190" s="157"/>
      <c r="AS190" s="160"/>
      <c r="AT190" s="150"/>
      <c r="AU190" s="150"/>
      <c r="AV190" s="165"/>
      <c r="AW190" s="168"/>
      <c r="AX190" s="149"/>
      <c r="AY190" s="149"/>
      <c r="AZ190" s="157"/>
      <c r="BA190" s="160"/>
      <c r="BB190" s="150"/>
      <c r="BC190" s="150"/>
      <c r="BD190" s="176"/>
      <c r="BE190" s="168"/>
      <c r="BF190" s="149"/>
      <c r="BG190" s="149"/>
      <c r="BH190" s="171"/>
      <c r="BI190" s="160"/>
      <c r="BJ190" s="150"/>
      <c r="BK190" s="150"/>
      <c r="BL190" s="176"/>
      <c r="BM190" s="168"/>
      <c r="BN190" s="149"/>
      <c r="BO190" s="149"/>
      <c r="BP190" s="157"/>
      <c r="BQ190" s="160"/>
      <c r="BR190" s="150"/>
      <c r="BS190" s="150"/>
      <c r="BT190" s="176"/>
      <c r="BU190" s="168"/>
      <c r="BV190" s="149"/>
      <c r="BW190" s="149"/>
      <c r="BX190" s="157"/>
      <c r="BY190" s="160"/>
      <c r="BZ190" s="150"/>
      <c r="CA190" s="150"/>
      <c r="CB190" s="176"/>
      <c r="CC190" s="168"/>
      <c r="CD190" s="149"/>
      <c r="CE190" s="149"/>
      <c r="CF190" s="157"/>
      <c r="CG190" s="160"/>
      <c r="CH190" s="150"/>
      <c r="CI190" s="150"/>
      <c r="CJ190" s="176"/>
      <c r="CK190" s="168"/>
      <c r="CL190" s="149"/>
      <c r="CM190" s="149"/>
      <c r="CN190" s="157"/>
      <c r="CO190" s="160"/>
      <c r="CP190" s="150"/>
      <c r="CQ190" s="150"/>
      <c r="CR190" s="176"/>
      <c r="CS190" s="168"/>
      <c r="CT190" s="149"/>
      <c r="CU190" s="149"/>
      <c r="CV190" s="157"/>
      <c r="CW190" s="160"/>
      <c r="CX190" s="150"/>
      <c r="CY190" s="150"/>
      <c r="CZ190" s="176"/>
      <c r="DA190" s="168"/>
      <c r="DB190" s="149"/>
      <c r="DC190" s="149"/>
      <c r="DD190" s="157"/>
    </row>
    <row r="191" spans="2:108" x14ac:dyDescent="0.2">
      <c r="B191" s="182" t="str">
        <f>'Aqua - S3'!B5</f>
        <v>Aquaculture/Shellfish Propagation - Full Scale Location TBD</v>
      </c>
      <c r="C191" s="189"/>
      <c r="D191" s="194">
        <f>'Aqua - S3'!F34</f>
        <v>1080800</v>
      </c>
      <c r="E191" s="195">
        <f>'Aqua - S3'!F63</f>
        <v>56700</v>
      </c>
      <c r="F191" s="195">
        <f>'Aqua - S3'!F94</f>
        <v>159800</v>
      </c>
      <c r="G191" s="195">
        <f>'Aqua - S3'!F123</f>
        <v>59500</v>
      </c>
      <c r="H191" s="168"/>
      <c r="I191" s="600"/>
      <c r="J191" s="600"/>
      <c r="K191" s="600"/>
      <c r="L191" s="600"/>
      <c r="M191" s="600"/>
      <c r="N191" s="600"/>
      <c r="O191" s="600"/>
      <c r="P191" s="600"/>
      <c r="Q191" s="600"/>
      <c r="R191" s="600"/>
      <c r="S191" s="600"/>
      <c r="T191" s="600"/>
      <c r="U191" s="600"/>
      <c r="V191" s="600"/>
      <c r="W191" s="600"/>
      <c r="X191" s="600"/>
      <c r="Y191" s="600"/>
      <c r="Z191" s="600"/>
      <c r="AA191" s="600"/>
      <c r="AB191" s="601"/>
      <c r="AC191" s="160"/>
      <c r="AD191" s="150"/>
      <c r="AE191" s="150"/>
      <c r="AF191" s="165"/>
      <c r="AG191" s="168"/>
      <c r="AH191" s="149"/>
      <c r="AI191" s="149"/>
      <c r="AJ191" s="171"/>
      <c r="AK191" s="160"/>
      <c r="AL191" s="150"/>
      <c r="AM191" s="150"/>
      <c r="AN191" s="165"/>
      <c r="AO191" s="168"/>
      <c r="AP191" s="149"/>
      <c r="AQ191" s="149"/>
      <c r="AR191" s="157"/>
      <c r="AS191" s="160"/>
      <c r="AT191" s="150"/>
      <c r="AU191" s="150"/>
      <c r="AV191" s="165"/>
      <c r="AW191" s="168"/>
      <c r="AX191" s="149"/>
      <c r="AY191" s="149"/>
      <c r="AZ191" s="157"/>
      <c r="BA191" s="160"/>
      <c r="BB191" s="150"/>
      <c r="BC191" s="150"/>
      <c r="BD191" s="176"/>
      <c r="BE191" s="168"/>
      <c r="BF191" s="149"/>
      <c r="BG191" s="149"/>
      <c r="BH191" s="171"/>
      <c r="BI191" s="160"/>
      <c r="BJ191" s="150"/>
      <c r="BK191" s="150"/>
      <c r="BL191" s="176"/>
      <c r="BM191" s="168"/>
      <c r="BN191" s="149"/>
      <c r="BO191" s="149"/>
      <c r="BP191" s="157"/>
      <c r="BQ191" s="160"/>
      <c r="BR191" s="150"/>
      <c r="BS191" s="150"/>
      <c r="BT191" s="176"/>
      <c r="BU191" s="168"/>
      <c r="BV191" s="149"/>
      <c r="BW191" s="149"/>
      <c r="BX191" s="157"/>
      <c r="BY191" s="160"/>
      <c r="BZ191" s="150"/>
      <c r="CA191" s="150"/>
      <c r="CB191" s="176"/>
      <c r="CC191" s="168"/>
      <c r="CD191" s="149"/>
      <c r="CE191" s="149"/>
      <c r="CF191" s="157"/>
      <c r="CG191" s="160"/>
      <c r="CH191" s="150"/>
      <c r="CI191" s="150"/>
      <c r="CJ191" s="176"/>
      <c r="CK191" s="168"/>
      <c r="CL191" s="149"/>
      <c r="CM191" s="149"/>
      <c r="CN191" s="157"/>
      <c r="CO191" s="160"/>
      <c r="CP191" s="150"/>
      <c r="CQ191" s="150"/>
      <c r="CR191" s="176"/>
      <c r="CS191" s="168"/>
      <c r="CT191" s="149"/>
      <c r="CU191" s="149"/>
      <c r="CV191" s="157"/>
      <c r="CW191" s="160"/>
      <c r="CX191" s="150"/>
      <c r="CY191" s="150"/>
      <c r="CZ191" s="176"/>
      <c r="DA191" s="168"/>
      <c r="DB191" s="149"/>
      <c r="DC191" s="149"/>
      <c r="DD191" s="157"/>
    </row>
    <row r="192" spans="2:108" x14ac:dyDescent="0.2">
      <c r="B192" s="183" t="s">
        <v>220</v>
      </c>
      <c r="C192" s="556">
        <v>4</v>
      </c>
      <c r="D192" s="168">
        <f>'Aqua - S3'!F31+'Aqua - S3'!F32</f>
        <v>120100</v>
      </c>
      <c r="E192" s="149"/>
      <c r="F192" s="149"/>
      <c r="G192" s="149"/>
      <c r="H192" s="168">
        <f>SUM(I192:AB192)</f>
        <v>127358.44188487633</v>
      </c>
      <c r="I192" s="610">
        <f>-PV(InterestRate,I$8,,(SUM(AC192:AF192)))</f>
        <v>0</v>
      </c>
      <c r="J192" s="610">
        <f>-PV(InterestRate,J$8,,(SUM(AG192:AJ192)))</f>
        <v>0</v>
      </c>
      <c r="K192" s="610">
        <f>-PV(InterestRate,K$8,,(SUM(AK192:AN192)))</f>
        <v>0</v>
      </c>
      <c r="L192" s="610">
        <f>-PV(InterestRate,L$8,,(SUM(AO192:AR192)))</f>
        <v>127358.44188487633</v>
      </c>
      <c r="M192" s="610">
        <f>-PV(InterestRate,M$8,,(SUM(AS192:AV192)))</f>
        <v>0</v>
      </c>
      <c r="N192" s="610">
        <f>-PV(InterestRate,N$8,,(SUM(AW192:AZ192)))</f>
        <v>0</v>
      </c>
      <c r="O192" s="610">
        <f>-PV(InterestRate,O$8,,(SUM(BA192:BD192)))</f>
        <v>0</v>
      </c>
      <c r="P192" s="610">
        <f>-PV(InterestRate,P$8,,(SUM(BE192:BH192)))</f>
        <v>0</v>
      </c>
      <c r="Q192" s="610">
        <f>-PV(InterestRate,Q$8,,(SUM(BI192:BL192)))</f>
        <v>0</v>
      </c>
      <c r="R192" s="610">
        <f>-PV(InterestRate,R$8,,(SUM(BM192:BP192)))</f>
        <v>0</v>
      </c>
      <c r="S192" s="610">
        <f>-PV(InterestRate,S$8,,(SUM(BQ192:BT192)))</f>
        <v>0</v>
      </c>
      <c r="T192" s="610">
        <f>-PV(InterestRate,T$8,,(SUM(BU192:BX192)))</f>
        <v>0</v>
      </c>
      <c r="U192" s="610">
        <f>-PV(InterestRate,U$8,,(SUM(BY192:CB192)))</f>
        <v>0</v>
      </c>
      <c r="V192" s="610">
        <f>-PV(InterestRate,V$8,,(SUM(CC192:CF192)))</f>
        <v>0</v>
      </c>
      <c r="W192" s="610">
        <f>-PV(InterestRate,W$8,,(SUM(CG192:CJ192)))</f>
        <v>0</v>
      </c>
      <c r="X192" s="610">
        <f>-PV(InterestRate,X$8,,(SUM(CK192:CN192)))</f>
        <v>0</v>
      </c>
      <c r="Y192" s="610">
        <f>-PV(InterestRate,Y$8,,(SUM(CO192:CR192)))</f>
        <v>0</v>
      </c>
      <c r="Z192" s="610">
        <f>-PV(InterestRate,Z$8,,(SUM(CS192:CV192)))</f>
        <v>0</v>
      </c>
      <c r="AA192" s="610">
        <f>-PV(InterestRate,AA$8,,(SUM(CW192:CZ192)))</f>
        <v>0</v>
      </c>
      <c r="AB192" s="611">
        <f>-PV(InterestRate,AB$8,,(SUM(DA192:DD192)))</f>
        <v>0</v>
      </c>
      <c r="AC192" s="160">
        <f>IF($C192&gt;0,(IF($C192=$AC$7,$D192,0)),0)</f>
        <v>0</v>
      </c>
      <c r="AD192" s="150">
        <f>IF($C192&gt;0,(IF($AC$7&gt;=$C192+1,$E192,0)),0)</f>
        <v>0</v>
      </c>
      <c r="AE192" s="150">
        <f>IF($C192&gt;0,(IF($C192=$AC$7,$F192,0)),0)</f>
        <v>0</v>
      </c>
      <c r="AF192" s="165">
        <f>IF($C192&gt;0,(IF($AC$7&gt;=$C192+1,$G192,0)),0)</f>
        <v>0</v>
      </c>
      <c r="AG192" s="168"/>
      <c r="AH192" s="149"/>
      <c r="AI192" s="149"/>
      <c r="AJ192" s="171"/>
      <c r="AK192" s="160"/>
      <c r="AL192" s="150"/>
      <c r="AM192" s="150"/>
      <c r="AN192" s="165"/>
      <c r="AO192" s="168">
        <f>IF($C192&gt;0,(IF($C192=$AO$7,(-FV(InflationRate,$AO$7,,$D192)),0)),0)</f>
        <v>135173.60808099998</v>
      </c>
      <c r="AP192" s="149">
        <f>IF($C192&gt;0,(IF($AO$7&gt;=$C192+1, (-FV(InflationRate,$AO$7,,$E192)), 0)),0)</f>
        <v>0</v>
      </c>
      <c r="AQ192" s="149">
        <f>IF($C192&gt;0,(IF($AO$7&gt;=$C192+1, (-FV(InflationRate,$AO$7,,$F192)), 0)),0)</f>
        <v>0</v>
      </c>
      <c r="AR192" s="157">
        <f>IF($C192&gt;0,(IF($AO$7&gt;=$C192+1, (-FV(InflationRate,$AO$7,,$G192)), 0)),0)</f>
        <v>0</v>
      </c>
      <c r="AS192" s="160">
        <f>IF($C192&gt;0,(IF($C192=$AS$7,(-FV(InflationRate,$AS$7,,$D192)),0)),0)</f>
        <v>0</v>
      </c>
      <c r="AT192" s="150">
        <f>IF($C192&gt;0,(IF($AS$7&gt;=$C192+1, (-FV(InflationRate,$AS$7,,$E192)), 0)),0)</f>
        <v>0</v>
      </c>
      <c r="AU192" s="150">
        <f>IF($C192&gt;0,(IF($AS$7&gt;=$C192+1, (-FV(InflationRate,$AS$7,,$F192)), 0)),0)</f>
        <v>0</v>
      </c>
      <c r="AV192" s="165">
        <f>IF($C192&gt;0,(IF($AS$7&gt;=$C192+1, (-FV(InflationRate,$AS$7,,$G192)), 0)),0)</f>
        <v>0</v>
      </c>
      <c r="AW192" s="168">
        <f>IF($C192&gt;0,(IF($C192=$AW$7,(-FV(InflationRate,$AW$7,,$D192)),0)),0)</f>
        <v>0</v>
      </c>
      <c r="AX192" s="149">
        <f>IF($C192&gt;0,(IF($AW$7&gt;=$C192+1, (-FV(InflationRate,$AW$7,,$E192)), 0)),0)</f>
        <v>0</v>
      </c>
      <c r="AY192" s="149">
        <f>IF($C192&gt;0,(IF($AW$7&gt;=$C192+1, (-FV(InflationRate,$AW$7,,$F192)), 0)),0)</f>
        <v>0</v>
      </c>
      <c r="AZ192" s="157">
        <f>IF($C192&gt;0,(IF($AW$7&gt;=$C192+1, (-FV(InflationRate,$AW$7,,$G192)), 0)),0)</f>
        <v>0</v>
      </c>
      <c r="BA192" s="160">
        <f>IF($C192&gt;0,(IF($C192=$BA$7,(-FV(InflationRate,$BA$7,,$D192)),0)),0)</f>
        <v>0</v>
      </c>
      <c r="BB192" s="150">
        <f>IF($C192&gt;0,(IF($BA$7&gt;=$C192+1, (-FV(InflationRate,$BA$7,,$E192)), 0)),0)</f>
        <v>0</v>
      </c>
      <c r="BC192" s="150">
        <f>IF($C192&gt;0,(IF($BA$7&gt;=$C192+1, (-FV(InflationRate,$BA$7,,$F192)), 0)),0)</f>
        <v>0</v>
      </c>
      <c r="BD192" s="176">
        <f>IF($C192&gt;0,(IF($BA$7&gt;=$C192+1, (-FV(InflationRate,$BA$7,,$G192)), 0)),0)</f>
        <v>0</v>
      </c>
      <c r="BE192" s="168">
        <f>IF($C192&gt;0,(IF($C192=$BE$7,(-FV(InflationRate,$BE$7,,$D192)),0)),0)</f>
        <v>0</v>
      </c>
      <c r="BF192" s="149">
        <f>IF($C192&gt;0,(IF($BE$7&gt;=$C192+1, (-FV(InflationRate,$BE$7,,$E192)), 0)),0)</f>
        <v>0</v>
      </c>
      <c r="BG192" s="149">
        <f>IF($C192&gt;0,(IF($BE$7&gt;=$C192+1, (-FV(InflationRate,$BE$7,,$F192)), 0)),0)</f>
        <v>0</v>
      </c>
      <c r="BH192" s="171">
        <f>IF($C192&gt;0,(IF($BE$7&gt;=$C192+1, (-FV(InflationRate,$BE$7,,$G192)), 0)),0)</f>
        <v>0</v>
      </c>
      <c r="BI192" s="160">
        <f>IF($C192&gt;0,(IF($C192=$BI$7,(-FV(InflationRate,$BI$7,,$D192)),0)),0)</f>
        <v>0</v>
      </c>
      <c r="BJ192" s="150">
        <f>IF($C192&gt;0,(IF($BI$7&gt;=$C192+1, (-FV(InflationRate,$BI$7,,$E192)), 0)),0)</f>
        <v>0</v>
      </c>
      <c r="BK192" s="150">
        <f>IF($C192&gt;0,(IF($BI$7&gt;=$C192+1, (-FV(InflationRate,$BI$7,,$F192)), 0)),0)</f>
        <v>0</v>
      </c>
      <c r="BL192" s="176">
        <f>IF($C192&gt;0,(IF($BI$7&gt;=$C192+1, (-FV(InflationRate,$BI$7,,$G192)), 0)),0)</f>
        <v>0</v>
      </c>
      <c r="BM192" s="168">
        <f>IF($C192&gt;0,(IF($C192=$BM$7,(-FV(InflationRate,$BM$7,,$D192)),0)),0)</f>
        <v>0</v>
      </c>
      <c r="BN192" s="149">
        <f>IF($C192&gt;0,(IF($BM$7&gt;=$C192+1, (-FV(InflationRate,$BM$7,,$E192)), 0)),0)</f>
        <v>0</v>
      </c>
      <c r="BO192" s="149">
        <f>IF($C192&gt;0,(IF($BM$7&gt;=$C192+1, (-FV(InflationRate,$BM$7,,$F192)), 0)),0)</f>
        <v>0</v>
      </c>
      <c r="BP192" s="157">
        <f>IF($C192&gt;0,(IF($BM$7&gt;=$C192+1, (-FV(InflationRate,$BM$7,,$G192)), 0)),0)</f>
        <v>0</v>
      </c>
      <c r="BQ192" s="160">
        <f>IF($C192&gt;0,(IF($C192=$BQ$7,(-FV(InflationRate,$BQ$7,,$D192)),0)),0)</f>
        <v>0</v>
      </c>
      <c r="BR192" s="150">
        <f>IF($C192&gt;0,(IF($BQ$7&gt;=$C192+1, (-FV(InflationRate,$BQ$7,,$E192)), 0)),0)</f>
        <v>0</v>
      </c>
      <c r="BS192" s="150">
        <f>IF($C192&gt;0,(IF($BQ$7&gt;=$C192+1, (-FV(InflationRate,$BQ$7,,$F192)), 0)),0)</f>
        <v>0</v>
      </c>
      <c r="BT192" s="176">
        <f>IF($C192&gt;0,(IF($BQ$7&gt;=$C192+1, (-FV(InflationRate,$BQ$7,,$G192)), 0)),0)</f>
        <v>0</v>
      </c>
      <c r="BU192" s="168">
        <f>IF($C192&gt;0,(IF($C192=$BU$7,(-FV(InflationRate,$BU$7,,$D192)),0)),0)</f>
        <v>0</v>
      </c>
      <c r="BV192" s="149">
        <f>IF($C192&gt;0,(IF($BU$7&gt;=$C192+1, (-FV(InflationRate,$BU$7,,$E192)), 0)),0)</f>
        <v>0</v>
      </c>
      <c r="BW192" s="149">
        <f>IF($C192&gt;0,(IF($BU$7&gt;=$C192+1, (-FV(InflationRate,$BU$7,,$F192)), 0)),0)</f>
        <v>0</v>
      </c>
      <c r="BX192" s="157">
        <f>IF($C192&gt;0,(IF($BU$7&gt;=$C192+1, (-FV(InflationRate,$BU$7,,$G192)), 0)),0)</f>
        <v>0</v>
      </c>
      <c r="BY192" s="160">
        <f>IF($C192&gt;0,(IF($C192=$BY$7,(-FV(InflationRate,$BY$7,,$D192)),0)),0)</f>
        <v>0</v>
      </c>
      <c r="BZ192" s="150">
        <f>IF($C192&gt;0,(IF($BY$7&gt;=$C192+1, (-FV(InflationRate,$BY$7,,$E192)), 0)),0)</f>
        <v>0</v>
      </c>
      <c r="CA192" s="150">
        <f>IF($C192&gt;0,(IF($BY$7&gt;=$C192+1, (-FV(InflationRate,$BY$7,,$F192)), 0)),0)</f>
        <v>0</v>
      </c>
      <c r="CB192" s="176">
        <f>IF($C192&gt;0,(IF($BY$7&gt;=$C192+1, (-FV(InflationRate,$BY$7,,$G192)), 0)),0)</f>
        <v>0</v>
      </c>
      <c r="CC192" s="168">
        <f>IF($C192&gt;0,(IF($C192=$CC$7,(-FV(InflationRate,$CC$7,,$D192)),0)),0)</f>
        <v>0</v>
      </c>
      <c r="CD192" s="149">
        <f>IF($C192&gt;0,(IF($CC$7&gt;=$C192+1, (-FV(InflationRate,$CC$7,,$E192)), 0)),0)</f>
        <v>0</v>
      </c>
      <c r="CE192" s="149">
        <f>IF($C192&gt;0,(IF($CC$7&gt;=$C192+1, (-FV(InflationRate,$CC$7,,$F192)), 0)),0)</f>
        <v>0</v>
      </c>
      <c r="CF192" s="157">
        <f>IF($C192&gt;0,(IF($CC$7&gt;=$C192+1, (-FV(InflationRate,$CC$7,,$G192)), 0)),0)</f>
        <v>0</v>
      </c>
      <c r="CG192" s="160">
        <f>IF($C192&gt;0,(IF($C192=$CG$7,(-FV(InflationRate,$CG$7,,$D192)),0)),0)</f>
        <v>0</v>
      </c>
      <c r="CH192" s="150">
        <f>IF($C192&gt;0,(IF($CG$7&gt;=$C192+1, (-FV(InflationRate,$CG$7,,$E192)), 0)),0)</f>
        <v>0</v>
      </c>
      <c r="CI192" s="150">
        <f>IF($C192&gt;0,(IF($CG$7&gt;=$C192+1, (-FV(InflationRate,$CG$7,,$F192)), 0)),0)</f>
        <v>0</v>
      </c>
      <c r="CJ192" s="176">
        <f>IF($C192&gt;0,(IF($CG$7&gt;=$C192+1, (-FV(InflationRate,$CG$7,,$G192)), 0)),0)</f>
        <v>0</v>
      </c>
      <c r="CK192" s="168">
        <f>IF($C192&gt;0,(IF($C192=$CK$7,(-FV(InflationRate,$CK$7,,$D192)),0)),0)</f>
        <v>0</v>
      </c>
      <c r="CL192" s="149">
        <f>IF($C192&gt;0,(IF($CK$7&gt;=$C192+1, (-FV(InflationRate,$CK$7,,$E192)), 0)),0)</f>
        <v>0</v>
      </c>
      <c r="CM192" s="149">
        <f>IF($C192&gt;0,(IF($CK$7&gt;=$C192+1, (-FV(InflationRate,$CK$7,,$F192)), 0)),0)</f>
        <v>0</v>
      </c>
      <c r="CN192" s="157">
        <f>IF($C192&gt;0,(IF($CK$7&gt;=$C192+1, (-FV(InflationRate,$CK$7,,$G192)), 0)),0)</f>
        <v>0</v>
      </c>
      <c r="CO192" s="160">
        <f>IF($C192&gt;0,(IF($C192=$CO$7,(-FV(InflationRate,$CO$7,,$D192)),0)),0)</f>
        <v>0</v>
      </c>
      <c r="CP192" s="150">
        <f>IF($C192&gt;0,(IF($CO$7&gt;=$C192+1, (-FV(InflationRate,$CO$7,,$E192)), 0)),0)</f>
        <v>0</v>
      </c>
      <c r="CQ192" s="150">
        <f>IF($C192&gt;0,(IF($CO$7&gt;=$C192+1, (-FV(InflationRate,$CO$7,,$F192)), 0)),0)</f>
        <v>0</v>
      </c>
      <c r="CR192" s="176">
        <f>IF($C192&gt;0,(IF($CO$7&gt;=$C192+1, (-FV(InflationRate,$CO$7,,$G192)), 0)),0)</f>
        <v>0</v>
      </c>
      <c r="CS192" s="168">
        <f>IF($C192&gt;0,(IF($C192=$CS$7,(-FV(InflationRate,$CS$7,,$D192)),0)),0)</f>
        <v>0</v>
      </c>
      <c r="CT192" s="149">
        <f>IF($C192&gt;0,(IF($CS$7&gt;=$C192+1, (-FV(InflationRate,$CS$7,,$E192)), 0)),0)</f>
        <v>0</v>
      </c>
      <c r="CU192" s="149">
        <f>IF($C192&gt;0,(IF($CS$7&gt;=$C192+1, (-FV(InflationRate,$CS$7,,$F192)), 0)),0)</f>
        <v>0</v>
      </c>
      <c r="CV192" s="157">
        <f>IF($C192&gt;0,(IF($CS$7&gt;=$C192+1, (-FV(InflationRate,$CS$7,,$G192)), 0)),0)</f>
        <v>0</v>
      </c>
      <c r="CW192" s="160">
        <f>IF($C192&gt;0,(IF($C192=$CW$7,(-FV(InflationRate,$CW$7,,$D192)),0)),0)</f>
        <v>0</v>
      </c>
      <c r="CX192" s="150">
        <f>IF($C192&gt;0,(IF($CW$7&gt;=$C192+1, (-FV(InflationRate,$CW$7,,$E192)), 0)),0)</f>
        <v>0</v>
      </c>
      <c r="CY192" s="150">
        <f>IF($C192&gt;0,(IF($CW$7&gt;=$C192+1, (-FV(InflationRate,$CW$7,,$F192)), 0)),0)</f>
        <v>0</v>
      </c>
      <c r="CZ192" s="176">
        <f>IF($C192&gt;0,(IF($CW$7&gt;=$C192+1, (-FV(InflationRate,$CW$7,,$G192)), 0)),0)</f>
        <v>0</v>
      </c>
      <c r="DA192" s="168">
        <f>IF($C192&gt;0,(IF($C192=$DA$7,(-FV(InflationRate,$DA$7,,$D192)),0)),0)</f>
        <v>0</v>
      </c>
      <c r="DB192" s="149">
        <f>IF($C192&gt;0,(IF($DA$7&gt;=$C192+1, (-FV(InflationRate,$DA$7,,$E192)), 0)),0)</f>
        <v>0</v>
      </c>
      <c r="DC192" s="149">
        <f>IF($C192&gt;0,(IF($DA$7&gt;=$C192+1, (-FV(InflationRate,$DA$7,,$F192)), 0)),0)</f>
        <v>0</v>
      </c>
      <c r="DD192" s="157">
        <f>IF($C192&gt;0,(IF($DA$7&gt;=$C192+1, (-FV(InflationRate,$DA$7,,$G192)), 0)),0)</f>
        <v>0</v>
      </c>
    </row>
    <row r="193" spans="2:108" x14ac:dyDescent="0.2">
      <c r="B193" s="183" t="s">
        <v>270</v>
      </c>
      <c r="C193" s="556">
        <v>5</v>
      </c>
      <c r="D193" s="168">
        <f>D191-D192</f>
        <v>960700</v>
      </c>
      <c r="E193" s="149">
        <f>E191</f>
        <v>56700</v>
      </c>
      <c r="F193" s="149"/>
      <c r="G193" s="149">
        <f>G191</f>
        <v>59500</v>
      </c>
      <c r="H193" s="168">
        <f>SUM(I193:AB193)</f>
        <v>3147280.616195363</v>
      </c>
      <c r="I193" s="610">
        <f>-PV(InterestRate,I$8,,(SUM(AC193:AF193)))</f>
        <v>0</v>
      </c>
      <c r="J193" s="610">
        <f>-PV(InterestRate,J$8,,(SUM(AG193:AJ193)))</f>
        <v>0</v>
      </c>
      <c r="K193" s="610">
        <f>-PV(InterestRate,K$8,,(SUM(AK193:AN193)))</f>
        <v>0</v>
      </c>
      <c r="L193" s="610">
        <f>-PV(InterestRate,L$8,,(SUM(AO193:AR193)))</f>
        <v>0</v>
      </c>
      <c r="M193" s="610">
        <f>-PV(InterestRate,M$8,,(SUM(AS193:AV193)))</f>
        <v>1033817.0799568892</v>
      </c>
      <c r="N193" s="610">
        <f>-PV(InterestRate,N$8,,(SUM(AW193:AZ193)))</f>
        <v>126891.70204989103</v>
      </c>
      <c r="O193" s="610">
        <f>-PV(InterestRate,O$8,,(SUM(BA193:BD193)))</f>
        <v>128766.94887821456</v>
      </c>
      <c r="P193" s="610">
        <f>-PV(InterestRate,P$8,,(SUM(BE193:BH193)))</f>
        <v>130669.90871385322</v>
      </c>
      <c r="Q193" s="610">
        <f>-PV(InterestRate,Q$8,,(SUM(BI193:BL193)))</f>
        <v>132600.99110863925</v>
      </c>
      <c r="R193" s="610">
        <f>-PV(InterestRate,R$8,,(SUM(BM193:BP193)))</f>
        <v>134560.61166689501</v>
      </c>
      <c r="S193" s="610">
        <f>-PV(InterestRate,S$8,,(SUM(BQ193:BT193)))</f>
        <v>136549.19213487871</v>
      </c>
      <c r="T193" s="610">
        <f>-PV(InterestRate,T$8,,(SUM(BU193:BX193)))</f>
        <v>138567.1604915518</v>
      </c>
      <c r="U193" s="610">
        <f>-PV(InterestRate,U$8,,(SUM(BY193:CB193)))</f>
        <v>140614.95104068803</v>
      </c>
      <c r="V193" s="610">
        <f>-PV(InterestRate,V$8,,(SUM(CC193:CF193)))</f>
        <v>142693.00450434355</v>
      </c>
      <c r="W193" s="610">
        <f>-PV(InterestRate,W$8,,(SUM(CG193:CJ193)))</f>
        <v>144801.76811770827</v>
      </c>
      <c r="X193" s="610">
        <f>-PV(InterestRate,X$8,,(SUM(CK193:CN193)))</f>
        <v>146941.69572535914</v>
      </c>
      <c r="Y193" s="610">
        <f>-PV(InterestRate,Y$8,,(SUM(CO193:CR193)))</f>
        <v>149113.24787893589</v>
      </c>
      <c r="Z193" s="610">
        <f>-PV(InterestRate,Z$8,,(SUM(CS193:CV193)))</f>
        <v>151316.89193626007</v>
      </c>
      <c r="AA193" s="610">
        <f>-PV(InterestRate,AA$8,,(SUM(CW193:CZ193)))</f>
        <v>153553.10216191909</v>
      </c>
      <c r="AB193" s="611">
        <f>-PV(InterestRate,AB$8,,(SUM(DA193:DD193)))</f>
        <v>155822.35982933667</v>
      </c>
      <c r="AC193" s="160">
        <f>IF($C193&gt;0,(IF($C193=$AC$7,$D193,0)),0)</f>
        <v>0</v>
      </c>
      <c r="AD193" s="150">
        <f>IF($C193&gt;0,(IF($AC$7&gt;=$C193+1,$E193,0)),0)</f>
        <v>0</v>
      </c>
      <c r="AE193" s="150">
        <f>IF($C193&gt;0,(IF($C193=$AC$7,$F193,0)),0)</f>
        <v>0</v>
      </c>
      <c r="AF193" s="165">
        <f>IF($C193&gt;0,(IF($AC$7&gt;=$C193+1,$G193,0)),0)</f>
        <v>0</v>
      </c>
      <c r="AG193" s="168"/>
      <c r="AH193" s="149"/>
      <c r="AI193" s="149"/>
      <c r="AJ193" s="171"/>
      <c r="AK193" s="160"/>
      <c r="AL193" s="150"/>
      <c r="AM193" s="150"/>
      <c r="AN193" s="165"/>
      <c r="AO193" s="168">
        <f>IF($C193&gt;0,(IF($C193=$AO$7,(-FV(InflationRate,$AO$7,,$D193)),0)),0)</f>
        <v>0</v>
      </c>
      <c r="AP193" s="149">
        <f>IF($C193&gt;0,(IF($AO$7&gt;=$C193+1, (-FV(InflationRate,$AO$7,,$E193)), 0)),0)</f>
        <v>0</v>
      </c>
      <c r="AQ193" s="149">
        <f>IF($C193&gt;0,(IF($AO$7&gt;=$C193+1, (-FV(InflationRate,$AO$7,,$F193)), 0)),0)</f>
        <v>0</v>
      </c>
      <c r="AR193" s="157">
        <f>IF($C193&gt;0,(IF($AO$7&gt;=$C193+1, (-FV(InflationRate,$AO$7,,$G193)), 0)),0)</f>
        <v>0</v>
      </c>
      <c r="AS193" s="160">
        <f>IF($C193&gt;0,(IF($C193=$AS$7,(-FV(InflationRate,$AS$7,,$D193)),0)),0)</f>
        <v>1113714.6031800099</v>
      </c>
      <c r="AT193" s="150">
        <f>IF($C193&gt;0,(IF($AS$7&gt;=$C193+1, (-FV(InflationRate,$AS$7,,$E193)), 0)),0)</f>
        <v>0</v>
      </c>
      <c r="AU193" s="150">
        <f>IF($C193&gt;0,(IF($AS$7&gt;=$C193+1, (-FV(InflationRate,$AS$7,,$F193)), 0)),0)</f>
        <v>0</v>
      </c>
      <c r="AV193" s="165">
        <f>IF($C193&gt;0,(IF($AS$7&gt;=$C193+1, (-FV(InflationRate,$AS$7,,$G193)), 0)),0)</f>
        <v>0</v>
      </c>
      <c r="AW193" s="168">
        <f>IF($C193&gt;0,(IF($C193=$AW$7,(-FV(InflationRate,$AW$7,,$D193)),0)),0)</f>
        <v>0</v>
      </c>
      <c r="AX193" s="149">
        <f>IF($C193&gt;0,(IF($AW$7&gt;=$C193+1, (-FV(InflationRate,$AW$7,,$E193)), 0)),0)</f>
        <v>67702.765213194289</v>
      </c>
      <c r="AY193" s="149">
        <f>IF($C193&gt;0,(IF($AW$7&gt;=$C193+1, (-FV(InflationRate,$AW$7,,$F193)), 0)),0)</f>
        <v>0</v>
      </c>
      <c r="AZ193" s="157">
        <f>IF($C193&gt;0,(IF($AW$7&gt;=$C193+1, (-FV(InflationRate,$AW$7,,$G193)), 0)),0)</f>
        <v>71046.111643475495</v>
      </c>
      <c r="BA193" s="160">
        <f>IF($C193&gt;0,(IF($C193=$BA$7,(-FV(InflationRate,$BA$7,,$D193)),0)),0)</f>
        <v>0</v>
      </c>
      <c r="BB193" s="150">
        <f>IF($C193&gt;0,(IF($BA$7&gt;=$C193+1, (-FV(InflationRate,$BA$7,,$E193)), 0)),0)</f>
        <v>69733.848169590128</v>
      </c>
      <c r="BC193" s="150">
        <f>IF($C193&gt;0,(IF($BA$7&gt;=$C193+1, (-FV(InflationRate,$BA$7,,$F193)), 0)),0)</f>
        <v>0</v>
      </c>
      <c r="BD193" s="176">
        <f>IF($C193&gt;0,(IF($BA$7&gt;=$C193+1, (-FV(InflationRate,$BA$7,,$G193)), 0)),0)</f>
        <v>73177.494992779757</v>
      </c>
      <c r="BE193" s="168">
        <f>IF($C193&gt;0,(IF($C193=$BE$7,(-FV(InflationRate,$BE$7,,$D193)),0)),0)</f>
        <v>0</v>
      </c>
      <c r="BF193" s="149">
        <f>IF($C193&gt;0,(IF($BE$7&gt;=$C193+1, (-FV(InflationRate,$BE$7,,$E193)), 0)),0)</f>
        <v>71825.86361467783</v>
      </c>
      <c r="BG193" s="149">
        <f>IF($C193&gt;0,(IF($BE$7&gt;=$C193+1, (-FV(InflationRate,$BE$7,,$F193)), 0)),0)</f>
        <v>0</v>
      </c>
      <c r="BH193" s="171">
        <f>IF($C193&gt;0,(IF($BE$7&gt;=$C193+1, (-FV(InflationRate,$BE$7,,$G193)), 0)),0)</f>
        <v>75372.819842563142</v>
      </c>
      <c r="BI193" s="160">
        <f>IF($C193&gt;0,(IF($C193=$BI$7,(-FV(InflationRate,$BI$7,,$D193)),0)),0)</f>
        <v>0</v>
      </c>
      <c r="BJ193" s="150">
        <f>IF($C193&gt;0,(IF($BI$7&gt;=$C193+1, (-FV(InflationRate,$BI$7,,$E193)), 0)),0)</f>
        <v>73980.639523118167</v>
      </c>
      <c r="BK193" s="150">
        <f>IF($C193&gt;0,(IF($BI$7&gt;=$C193+1, (-FV(InflationRate,$BI$7,,$F193)), 0)),0)</f>
        <v>0</v>
      </c>
      <c r="BL193" s="176">
        <f>IF($C193&gt;0,(IF($BI$7&gt;=$C193+1, (-FV(InflationRate,$BI$7,,$G193)), 0)),0)</f>
        <v>77634.004437840049</v>
      </c>
      <c r="BM193" s="168">
        <f>IF($C193&gt;0,(IF($C193=$BM$7,(-FV(InflationRate,$BM$7,,$D193)),0)),0)</f>
        <v>0</v>
      </c>
      <c r="BN193" s="149">
        <f>IF($C193&gt;0,(IF($BM$7&gt;=$C193+1, (-FV(InflationRate,$BM$7,,$E193)), 0)),0)</f>
        <v>76200.058708811703</v>
      </c>
      <c r="BO193" s="149">
        <f>IF($C193&gt;0,(IF($BM$7&gt;=$C193+1, (-FV(InflationRate,$BM$7,,$F193)), 0)),0)</f>
        <v>0</v>
      </c>
      <c r="BP193" s="157">
        <f>IF($C193&gt;0,(IF($BM$7&gt;=$C193+1, (-FV(InflationRate,$BM$7,,$G193)), 0)),0)</f>
        <v>79963.024570975249</v>
      </c>
      <c r="BQ193" s="160">
        <f>IF($C193&gt;0,(IF($C193=$BQ$7,(-FV(InflationRate,$BQ$7,,$D193)),0)),0)</f>
        <v>0</v>
      </c>
      <c r="BR193" s="150">
        <f>IF($C193&gt;0,(IF($BQ$7&gt;=$C193+1, (-FV(InflationRate,$BQ$7,,$E193)), 0)),0)</f>
        <v>78486.06047007606</v>
      </c>
      <c r="BS193" s="150">
        <f>IF($C193&gt;0,(IF($BQ$7&gt;=$C193+1, (-FV(InflationRate,$BQ$7,,$F193)), 0)),0)</f>
        <v>0</v>
      </c>
      <c r="BT193" s="176">
        <f>IF($C193&gt;0,(IF($BQ$7&gt;=$C193+1, (-FV(InflationRate,$BQ$7,,$G193)), 0)),0)</f>
        <v>82361.915308104508</v>
      </c>
      <c r="BU193" s="168">
        <f>IF($C193&gt;0,(IF($C193=$BU$7,(-FV(InflationRate,$BU$7,,$D193)),0)),0)</f>
        <v>0</v>
      </c>
      <c r="BV193" s="149">
        <f>IF($C193&gt;0,(IF($BU$7&gt;=$C193+1, (-FV(InflationRate,$BU$7,,$E193)), 0)),0)</f>
        <v>80840.642284178335</v>
      </c>
      <c r="BW193" s="149">
        <f>IF($C193&gt;0,(IF($BU$7&gt;=$C193+1, (-FV(InflationRate,$BU$7,,$F193)), 0)),0)</f>
        <v>0</v>
      </c>
      <c r="BX193" s="157">
        <f>IF($C193&gt;0,(IF($BU$7&gt;=$C193+1, (-FV(InflationRate,$BU$7,,$G193)), 0)),0)</f>
        <v>84832.772767347633</v>
      </c>
      <c r="BY193" s="160">
        <f>IF($C193&gt;0,(IF($C193=$BY$7,(-FV(InflationRate,$BY$7,,$D193)),0)),0)</f>
        <v>0</v>
      </c>
      <c r="BZ193" s="150">
        <f>IF($C193&gt;0,(IF($BY$7&gt;=$C193+1, (-FV(InflationRate,$BY$7,,$E193)), 0)),0)</f>
        <v>83265.861552703675</v>
      </c>
      <c r="CA193" s="150">
        <f>IF($C193&gt;0,(IF($BY$7&gt;=$C193+1, (-FV(InflationRate,$BY$7,,$F193)), 0)),0)</f>
        <v>0</v>
      </c>
      <c r="CB193" s="176">
        <f>IF($C193&gt;0,(IF($BY$7&gt;=$C193+1, (-FV(InflationRate,$BY$7,,$G193)), 0)),0)</f>
        <v>87377.755950368053</v>
      </c>
      <c r="CC193" s="168">
        <f>IF($C193&gt;0,(IF($C193=$CC$7,(-FV(InflationRate,$CC$7,,$D193)),0)),0)</f>
        <v>0</v>
      </c>
      <c r="CD193" s="149">
        <f>IF($C193&gt;0,(IF($CC$7&gt;=$C193+1, (-FV(InflationRate,$CC$7,,$E193)), 0)),0)</f>
        <v>85763.837399284792</v>
      </c>
      <c r="CE193" s="149">
        <f>IF($C193&gt;0,(IF($CC$7&gt;=$C193+1, (-FV(InflationRate,$CC$7,,$F193)), 0)),0)</f>
        <v>0</v>
      </c>
      <c r="CF193" s="157">
        <f>IF($C193&gt;0,(IF($CC$7&gt;=$C193+1, (-FV(InflationRate,$CC$7,,$G193)), 0)),0)</f>
        <v>89999.088628879108</v>
      </c>
      <c r="CG193" s="160">
        <f>IF($C193&gt;0,(IF($C193=$CG$7,(-FV(InflationRate,$CG$7,,$D193)),0)),0)</f>
        <v>0</v>
      </c>
      <c r="CH193" s="150">
        <f>IF($C193&gt;0,(IF($CG$7&gt;=$C193+1, (-FV(InflationRate,$CG$7,,$E193)), 0)),0)</f>
        <v>88336.752521263348</v>
      </c>
      <c r="CI193" s="150">
        <f>IF($C193&gt;0,(IF($CG$7&gt;=$C193+1, (-FV(InflationRate,$CG$7,,$F193)), 0)),0)</f>
        <v>0</v>
      </c>
      <c r="CJ193" s="176">
        <f>IF($C193&gt;0,(IF($CG$7&gt;=$C193+1, (-FV(InflationRate,$CG$7,,$G193)), 0)),0)</f>
        <v>92699.061287745484</v>
      </c>
      <c r="CK193" s="168">
        <f>IF($C193&gt;0,(IF($C193=$CK$7,(-FV(InflationRate,$CK$7,,$D193)),0)),0)</f>
        <v>0</v>
      </c>
      <c r="CL193" s="149">
        <f>IF($C193&gt;0,(IF($CK$7&gt;=$C193+1, (-FV(InflationRate,$CK$7,,$E193)), 0)),0)</f>
        <v>90986.855096901229</v>
      </c>
      <c r="CM193" s="149">
        <f>IF($C193&gt;0,(IF($CK$7&gt;=$C193+1, (-FV(InflationRate,$CK$7,,$F193)), 0)),0)</f>
        <v>0</v>
      </c>
      <c r="CN193" s="157">
        <f>IF($C193&gt;0,(IF($CK$7&gt;=$C193+1, (-FV(InflationRate,$CK$7,,$G193)), 0)),0)</f>
        <v>95480.033126377835</v>
      </c>
      <c r="CO193" s="160">
        <f>IF($C193&gt;0,(IF($C193=$CO$7,(-FV(InflationRate,$CO$7,,$D193)),0)),0)</f>
        <v>0</v>
      </c>
      <c r="CP193" s="150">
        <f>IF($C193&gt;0,(IF($CO$7&gt;=$C193+1, (-FV(InflationRate,$CO$7,,$E193)), 0)),0)</f>
        <v>93716.460749808262</v>
      </c>
      <c r="CQ193" s="150">
        <f>IF($C193&gt;0,(IF($CO$7&gt;=$C193+1, (-FV(InflationRate,$CO$7,,$F193)), 0)),0)</f>
        <v>0</v>
      </c>
      <c r="CR193" s="176">
        <f>IF($C193&gt;0,(IF($CO$7&gt;=$C193+1, (-FV(InflationRate,$CO$7,,$G193)), 0)),0)</f>
        <v>98344.434120169171</v>
      </c>
      <c r="CS193" s="168">
        <f>IF($C193&gt;0,(IF($C193=$CS$7,(-FV(InflationRate,$CS$7,,$D193)),0)),0)</f>
        <v>0</v>
      </c>
      <c r="CT193" s="149">
        <f>IF($C193&gt;0,(IF($CS$7&gt;=$C193+1, (-FV(InflationRate,$CS$7,,$E193)), 0)),0)</f>
        <v>96527.954572302508</v>
      </c>
      <c r="CU193" s="149">
        <f>IF($C193&gt;0,(IF($CS$7&gt;=$C193+1, (-FV(InflationRate,$CS$7,,$F193)), 0)),0)</f>
        <v>0</v>
      </c>
      <c r="CV193" s="157">
        <f>IF($C193&gt;0,(IF($CS$7&gt;=$C193+1, (-FV(InflationRate,$CS$7,,$G193)), 0)),0)</f>
        <v>101294.76714377424</v>
      </c>
      <c r="CW193" s="160">
        <f>IF($C193&gt;0,(IF($C193=$CW$7,(-FV(InflationRate,$CW$7,,$D193)),0)),0)</f>
        <v>0</v>
      </c>
      <c r="CX193" s="150">
        <f>IF($C193&gt;0,(IF($CW$7&gt;=$C193+1, (-FV(InflationRate,$CW$7,,$E193)), 0)),0)</f>
        <v>99423.79320947158</v>
      </c>
      <c r="CY193" s="150">
        <f>IF($C193&gt;0,(IF($CW$7&gt;=$C193+1, (-FV(InflationRate,$CW$7,,$F193)), 0)),0)</f>
        <v>0</v>
      </c>
      <c r="CZ193" s="176">
        <f>IF($C193&gt;0,(IF($CW$7&gt;=$C193+1, (-FV(InflationRate,$CW$7,,$G193)), 0)),0)</f>
        <v>104333.61015808747</v>
      </c>
      <c r="DA193" s="168">
        <f>IF($C193&gt;0,(IF($C193=$DA$7,(-FV(InflationRate,$DA$7,,$D193)),0)),0)</f>
        <v>0</v>
      </c>
      <c r="DB193" s="149">
        <f>IF($C193&gt;0,(IF($DA$7&gt;=$C193+1, (-FV(InflationRate,$DA$7,,$E193)), 0)),0)</f>
        <v>102406.50700575573</v>
      </c>
      <c r="DC193" s="149">
        <f>IF($C193&gt;0,(IF($DA$7&gt;=$C193+1, (-FV(InflationRate,$DA$7,,$F193)), 0)),0)</f>
        <v>0</v>
      </c>
      <c r="DD193" s="157">
        <f>IF($C193&gt;0,(IF($DA$7&gt;=$C193+1, (-FV(InflationRate,$DA$7,,$G193)), 0)),0)</f>
        <v>107463.61846283008</v>
      </c>
    </row>
    <row r="194" spans="2:108" x14ac:dyDescent="0.2">
      <c r="B194" s="183" t="s">
        <v>203</v>
      </c>
      <c r="C194" s="556"/>
      <c r="D194" s="168"/>
      <c r="E194" s="149"/>
      <c r="F194" s="149">
        <f>F191</f>
        <v>159800</v>
      </c>
      <c r="G194" s="149"/>
      <c r="H194" s="168">
        <f>SUM(I194:AB194)</f>
        <v>0</v>
      </c>
      <c r="I194" s="610">
        <f>-PV(InterestRate,I$8,,(SUM(AC194:AF194)))</f>
        <v>0</v>
      </c>
      <c r="J194" s="610">
        <f>-PV(InterestRate,J$8,,(SUM(AG194:AJ194)))</f>
        <v>0</v>
      </c>
      <c r="K194" s="610">
        <f>-PV(InterestRate,K$8,,(SUM(AK194:AN194)))</f>
        <v>0</v>
      </c>
      <c r="L194" s="610">
        <f>-PV(InterestRate,L$8,,(SUM(AO194:AR194)))</f>
        <v>0</v>
      </c>
      <c r="M194" s="610">
        <f>-PV(InterestRate,M$8,,(SUM(AS194:AV194)))</f>
        <v>0</v>
      </c>
      <c r="N194" s="610">
        <f>-PV(InterestRate,N$8,,(SUM(AW194:AZ194)))</f>
        <v>0</v>
      </c>
      <c r="O194" s="610">
        <f>-PV(InterestRate,O$8,,(SUM(BA194:BD194)))</f>
        <v>0</v>
      </c>
      <c r="P194" s="610">
        <f>-PV(InterestRate,P$8,,(SUM(BE194:BH194)))</f>
        <v>0</v>
      </c>
      <c r="Q194" s="610">
        <f>-PV(InterestRate,Q$8,,(SUM(BI194:BL194)))</f>
        <v>0</v>
      </c>
      <c r="R194" s="610">
        <f>-PV(InterestRate,R$8,,(SUM(BM194:BP194)))</f>
        <v>0</v>
      </c>
      <c r="S194" s="610">
        <f>-PV(InterestRate,S$8,,(SUM(BQ194:BT194)))</f>
        <v>0</v>
      </c>
      <c r="T194" s="610">
        <f>-PV(InterestRate,T$8,,(SUM(BU194:BX194)))</f>
        <v>0</v>
      </c>
      <c r="U194" s="610">
        <f>-PV(InterestRate,U$8,,(SUM(BY194:CB194)))</f>
        <v>0</v>
      </c>
      <c r="V194" s="610">
        <f>-PV(InterestRate,V$8,,(SUM(CC194:CF194)))</f>
        <v>0</v>
      </c>
      <c r="W194" s="610">
        <f>-PV(InterestRate,W$8,,(SUM(CG194:CJ194)))</f>
        <v>0</v>
      </c>
      <c r="X194" s="610">
        <f>-PV(InterestRate,X$8,,(SUM(CK194:CN194)))</f>
        <v>0</v>
      </c>
      <c r="Y194" s="610">
        <f>-PV(InterestRate,Y$8,,(SUM(CO194:CR194)))</f>
        <v>0</v>
      </c>
      <c r="Z194" s="610">
        <f>-PV(InterestRate,Z$8,,(SUM(CS194:CV194)))</f>
        <v>0</v>
      </c>
      <c r="AA194" s="610">
        <f>-PV(InterestRate,AA$8,,(SUM(CW194:CZ194)))</f>
        <v>0</v>
      </c>
      <c r="AB194" s="611">
        <f>-PV(InterestRate,AB$8,,(SUM(DA194:DD194)))</f>
        <v>0</v>
      </c>
      <c r="AC194" s="160">
        <f>IF($C194&gt;0,(IF($C194=$AC$7,$D194,0)),0)</f>
        <v>0</v>
      </c>
      <c r="AD194" s="150">
        <f>IF($C194&gt;0,(IF($AC$7&gt;=$C194+1,$E194,0)),0)</f>
        <v>0</v>
      </c>
      <c r="AE194" s="150">
        <f>IF($C194&gt;0,(IF($C194=$AC$7,$F194,0)),0)</f>
        <v>0</v>
      </c>
      <c r="AF194" s="165">
        <f>IF($C194&gt;0,(IF($AC$7&gt;=$C194+1,$G194,0)),0)</f>
        <v>0</v>
      </c>
      <c r="AG194" s="168"/>
      <c r="AH194" s="149"/>
      <c r="AI194" s="149"/>
      <c r="AJ194" s="171"/>
      <c r="AK194" s="160"/>
      <c r="AL194" s="150"/>
      <c r="AM194" s="150"/>
      <c r="AN194" s="165"/>
      <c r="AO194" s="168">
        <f>IF($C194&gt;0,(IF($C194=$AO$7,(-FV(InflationRate,$AO$7,,$D194)),0)),0)</f>
        <v>0</v>
      </c>
      <c r="AP194" s="149">
        <f>IF($C194&gt;0,(IF($AO$7&gt;=$C194+1, (-FV(InflationRate,$AO$7,,$E194)), 0)),0)</f>
        <v>0</v>
      </c>
      <c r="AQ194" s="149">
        <f>IF($C194&gt;0,(IF($AO$7&gt;=$C194+1, (-FV(InflationRate,$AO$7,,$F194)), 0)),0)</f>
        <v>0</v>
      </c>
      <c r="AR194" s="157">
        <f>IF($C194&gt;0,(IF($AO$7&gt;=$C194+1, (-FV(InflationRate,$AO$7,,$G194)), 0)),0)</f>
        <v>0</v>
      </c>
      <c r="AS194" s="160">
        <f>IF($C194&gt;0,(IF($C194=$AS$7,(-FV(InflationRate,$AS$7,,$D194)),0)),0)</f>
        <v>0</v>
      </c>
      <c r="AT194" s="150">
        <f>IF($C194&gt;0,(IF($AS$7&gt;=$C194+1, (-FV(InflationRate,$AS$7,,$E194)), 0)),0)</f>
        <v>0</v>
      </c>
      <c r="AU194" s="150">
        <f>IF($C194&gt;0,(IF($AS$7&gt;=$C194+1, (-FV(InflationRate,$AS$7,,$F194)), 0)),0)</f>
        <v>0</v>
      </c>
      <c r="AV194" s="165">
        <f>IF($C194&gt;0,(IF($AS$7&gt;=$C194+1, (-FV(InflationRate,$AS$7,,$G194)), 0)),0)</f>
        <v>0</v>
      </c>
      <c r="AW194" s="168">
        <f>IF($C194&gt;0,(IF($C194=$AW$7,(-FV(InflationRate,$AW$7,,$D194)),0)),0)</f>
        <v>0</v>
      </c>
      <c r="AX194" s="149">
        <f>IF($C194&gt;0,(IF($AW$7&gt;=$C194+1, (-FV(InflationRate,$AW$7,,$E194)), 0)),0)</f>
        <v>0</v>
      </c>
      <c r="AY194" s="149">
        <f>IF($C194&gt;0,(IF($AW$7&gt;=$C194+1, (-FV(InflationRate,$AW$7,,$F194)), 0)),0)</f>
        <v>0</v>
      </c>
      <c r="AZ194" s="157">
        <f>IF($C194&gt;0,(IF($AW$7&gt;=$C194+1, (-FV(InflationRate,$AW$7,,$G194)), 0)),0)</f>
        <v>0</v>
      </c>
      <c r="BA194" s="160">
        <f>IF($C194&gt;0,(IF($C194=$BA$7,(-FV(InflationRate,$BA$7,,$D194)),0)),0)</f>
        <v>0</v>
      </c>
      <c r="BB194" s="150">
        <f>IF($C194&gt;0,(IF($BA$7&gt;=$C194+1, (-FV(InflationRate,$BA$7,,$E194)), 0)),0)</f>
        <v>0</v>
      </c>
      <c r="BC194" s="150">
        <f>IF($C194&gt;0,(IF($BA$7&gt;=$C194+1, (-FV(InflationRate,$BA$7,,$F194)), 0)),0)</f>
        <v>0</v>
      </c>
      <c r="BD194" s="176">
        <f>IF($C194&gt;0,(IF($BA$7&gt;=$C194+1, (-FV(InflationRate,$BA$7,,$G194)), 0)),0)</f>
        <v>0</v>
      </c>
      <c r="BE194" s="168">
        <f>IF($C194&gt;0,(IF($C194=$BE$7,(-FV(InflationRate,$BE$7,,$D194)),0)),0)</f>
        <v>0</v>
      </c>
      <c r="BF194" s="149">
        <f>IF($C194&gt;0,(IF($BE$7&gt;=$C194+1, (-FV(InflationRate,$BE$7,,$E194)), 0)),0)</f>
        <v>0</v>
      </c>
      <c r="BG194" s="149">
        <f>IF($C194&gt;0,(IF($BE$7&gt;=$C194+1, (-FV(InflationRate,$BE$7,,$F194)), 0)),0)</f>
        <v>0</v>
      </c>
      <c r="BH194" s="171">
        <f>IF($C194&gt;0,(IF($BE$7&gt;=$C194+1, (-FV(InflationRate,$BE$7,,$G194)), 0)),0)</f>
        <v>0</v>
      </c>
      <c r="BI194" s="160">
        <f>IF($C194&gt;0,(IF($C194=$BI$7,(-FV(InflationRate,$BI$7,,$D194)),0)),0)</f>
        <v>0</v>
      </c>
      <c r="BJ194" s="150">
        <f>IF($C194&gt;0,(IF($BI$7&gt;=$C194+1, (-FV(InflationRate,$BI$7,,$E194)), 0)),0)</f>
        <v>0</v>
      </c>
      <c r="BK194" s="150">
        <f>IF($C194&gt;0,(IF($BI$7&gt;=$C194+1, (-FV(InflationRate,$BI$7,,$F194)), 0)),0)</f>
        <v>0</v>
      </c>
      <c r="BL194" s="176">
        <f>IF($C194&gt;0,(IF($BI$7&gt;=$C194+1, (-FV(InflationRate,$BI$7,,$G194)), 0)),0)</f>
        <v>0</v>
      </c>
      <c r="BM194" s="168">
        <f>IF($C194&gt;0,(IF($C194=$BM$7,(-FV(InflationRate,$BM$7,,$D194)),0)),0)</f>
        <v>0</v>
      </c>
      <c r="BN194" s="149">
        <f>IF($C194&gt;0,(IF($BM$7&gt;=$C194+1, (-FV(InflationRate,$BM$7,,$E194)), 0)),0)</f>
        <v>0</v>
      </c>
      <c r="BO194" s="149">
        <f>IF($C194&gt;0,(IF($BM$7&gt;=$C194+1, (-FV(InflationRate,$BM$7,,$F194)), 0)),0)</f>
        <v>0</v>
      </c>
      <c r="BP194" s="157">
        <f>IF($C194&gt;0,(IF($BM$7&gt;=$C194+1, (-FV(InflationRate,$BM$7,,$G194)), 0)),0)</f>
        <v>0</v>
      </c>
      <c r="BQ194" s="160">
        <f>IF($C194&gt;0,(IF($C194=$BQ$7,(-FV(InflationRate,$BQ$7,,$D194)),0)),0)</f>
        <v>0</v>
      </c>
      <c r="BR194" s="150">
        <f>IF($C194&gt;0,(IF($BQ$7&gt;=$C194+1, (-FV(InflationRate,$BQ$7,,$E194)), 0)),0)</f>
        <v>0</v>
      </c>
      <c r="BS194" s="150">
        <f>IF($C194&gt;0,(IF($BQ$7&gt;=$C194+1, (-FV(InflationRate,$BQ$7,,$F194)), 0)),0)</f>
        <v>0</v>
      </c>
      <c r="BT194" s="176">
        <f>IF($C194&gt;0,(IF($BQ$7&gt;=$C194+1, (-FV(InflationRate,$BQ$7,,$G194)), 0)),0)</f>
        <v>0</v>
      </c>
      <c r="BU194" s="168">
        <f>IF($C194&gt;0,(IF($C194=$BU$7,(-FV(InflationRate,$BU$7,,$D194)),0)),0)</f>
        <v>0</v>
      </c>
      <c r="BV194" s="149">
        <f>IF($C194&gt;0,(IF($BU$7&gt;=$C194+1, (-FV(InflationRate,$BU$7,,$E194)), 0)),0)</f>
        <v>0</v>
      </c>
      <c r="BW194" s="149">
        <f>IF($C194&gt;0,(IF($BU$7&gt;=$C194+1, (-FV(InflationRate,$BU$7,,$F194)), 0)),0)</f>
        <v>0</v>
      </c>
      <c r="BX194" s="157">
        <f>IF($C194&gt;0,(IF($BU$7&gt;=$C194+1, (-FV(InflationRate,$BU$7,,$G194)), 0)),0)</f>
        <v>0</v>
      </c>
      <c r="BY194" s="160">
        <f>IF($C194&gt;0,(IF($C194=$BY$7,(-FV(InflationRate,$BY$7,,$D194)),0)),0)</f>
        <v>0</v>
      </c>
      <c r="BZ194" s="150">
        <f>IF($C194&gt;0,(IF($BY$7&gt;=$C194+1, (-FV(InflationRate,$BY$7,,$E194)), 0)),0)</f>
        <v>0</v>
      </c>
      <c r="CA194" s="150">
        <f>IF($C194&gt;0,(IF($BY$7&gt;=$C194+1, (-FV(InflationRate,$BY$7,,$F194)), 0)),0)</f>
        <v>0</v>
      </c>
      <c r="CB194" s="176">
        <f>IF($C194&gt;0,(IF($BY$7&gt;=$C194+1, (-FV(InflationRate,$BY$7,,$G194)), 0)),0)</f>
        <v>0</v>
      </c>
      <c r="CC194" s="168">
        <f>IF($C194&gt;0,(IF($C194=$CC$7,(-FV(InflationRate,$CC$7,,$D194)),0)),0)</f>
        <v>0</v>
      </c>
      <c r="CD194" s="149">
        <f>IF($C194&gt;0,(IF($CC$7&gt;=$C194+1, (-FV(InflationRate,$CC$7,,$E194)), 0)),0)</f>
        <v>0</v>
      </c>
      <c r="CE194" s="149">
        <f>IF($C194&gt;0,(IF($CC$7&gt;=$C194+1, (-FV(InflationRate,$CC$7,,$F194)), 0)),0)</f>
        <v>0</v>
      </c>
      <c r="CF194" s="157">
        <f>IF($C194&gt;0,(IF($CC$7&gt;=$C194+1, (-FV(InflationRate,$CC$7,,$G194)), 0)),0)</f>
        <v>0</v>
      </c>
      <c r="CG194" s="160">
        <f>IF($C194&gt;0,(IF($C194=$CG$7,(-FV(InflationRate,$CG$7,,$D194)),0)),0)</f>
        <v>0</v>
      </c>
      <c r="CH194" s="150">
        <f>IF($C194&gt;0,(IF($CG$7&gt;=$C194+1, (-FV(InflationRate,$CG$7,,$E194)), 0)),0)</f>
        <v>0</v>
      </c>
      <c r="CI194" s="150">
        <f>IF($C194&gt;0,(IF($CG$7&gt;=$C194+1, (-FV(InflationRate,$CG$7,,$F194)), 0)),0)</f>
        <v>0</v>
      </c>
      <c r="CJ194" s="176">
        <f>IF($C194&gt;0,(IF($CG$7&gt;=$C194+1, (-FV(InflationRate,$CG$7,,$G194)), 0)),0)</f>
        <v>0</v>
      </c>
      <c r="CK194" s="168">
        <f>IF($C194&gt;0,(IF($C194=$CK$7,(-FV(InflationRate,$CK$7,,$D194)),0)),0)</f>
        <v>0</v>
      </c>
      <c r="CL194" s="149">
        <f>IF($C194&gt;0,(IF($CK$7&gt;=$C194+1, (-FV(InflationRate,$CK$7,,$E194)), 0)),0)</f>
        <v>0</v>
      </c>
      <c r="CM194" s="149">
        <f>IF($C194&gt;0,(IF($CK$7&gt;=$C194+1, (-FV(InflationRate,$CK$7,,$F194)), 0)),0)</f>
        <v>0</v>
      </c>
      <c r="CN194" s="157">
        <f>IF($C194&gt;0,(IF($CK$7&gt;=$C194+1, (-FV(InflationRate,$CK$7,,$G194)), 0)),0)</f>
        <v>0</v>
      </c>
      <c r="CO194" s="160">
        <f>IF($C194&gt;0,(IF($C194=$CO$7,(-FV(InflationRate,$CO$7,,$D194)),0)),0)</f>
        <v>0</v>
      </c>
      <c r="CP194" s="150">
        <f>IF($C194&gt;0,(IF($CO$7&gt;=$C194+1, (-FV(InflationRate,$CO$7,,$E194)), 0)),0)</f>
        <v>0</v>
      </c>
      <c r="CQ194" s="150">
        <f>IF($C194&gt;0,(IF($CO$7&gt;=$C194+1, (-FV(InflationRate,$CO$7,,$F194)), 0)),0)</f>
        <v>0</v>
      </c>
      <c r="CR194" s="176">
        <f>IF($C194&gt;0,(IF($CO$7&gt;=$C194+1, (-FV(InflationRate,$CO$7,,$G194)), 0)),0)</f>
        <v>0</v>
      </c>
      <c r="CS194" s="168">
        <f>IF($C194&gt;0,(IF($C194=$CS$7,(-FV(InflationRate,$CS$7,,$D194)),0)),0)</f>
        <v>0</v>
      </c>
      <c r="CT194" s="149">
        <f>IF($C194&gt;0,(IF($CS$7&gt;=$C194+1, (-FV(InflationRate,$CS$7,,$E194)), 0)),0)</f>
        <v>0</v>
      </c>
      <c r="CU194" s="149">
        <f>IF($C194&gt;0,(IF($CS$7&gt;=$C194+1, (-FV(InflationRate,$CS$7,,$F194)), 0)),0)</f>
        <v>0</v>
      </c>
      <c r="CV194" s="157">
        <f>IF($C194&gt;0,(IF($CS$7&gt;=$C194+1, (-FV(InflationRate,$CS$7,,$G194)), 0)),0)</f>
        <v>0</v>
      </c>
      <c r="CW194" s="160">
        <f>IF($C194&gt;0,(IF($C194=$CW$7,(-FV(InflationRate,$CW$7,,$D194)),0)),0)</f>
        <v>0</v>
      </c>
      <c r="CX194" s="150">
        <f>IF($C194&gt;0,(IF($CW$7&gt;=$C194+1, (-FV(InflationRate,$CW$7,,$E194)), 0)),0)</f>
        <v>0</v>
      </c>
      <c r="CY194" s="150">
        <f>IF($C194&gt;0,(IF($CW$7&gt;=$C194+1, (-FV(InflationRate,$CW$7,,$F194)), 0)),0)</f>
        <v>0</v>
      </c>
      <c r="CZ194" s="176">
        <f>IF($C194&gt;0,(IF($CW$7&gt;=$C194+1, (-FV(InflationRate,$CW$7,,$G194)), 0)),0)</f>
        <v>0</v>
      </c>
      <c r="DA194" s="168">
        <f>IF($C194&gt;0,(IF($C194=$DA$7,(-FV(InflationRate,$DA$7,,$D194)),0)),0)</f>
        <v>0</v>
      </c>
      <c r="DB194" s="149">
        <f>IF($C194&gt;0,(IF($DA$7&gt;=$C194+1, (-FV(InflationRate,$DA$7,,$E194)), 0)),0)</f>
        <v>0</v>
      </c>
      <c r="DC194" s="149">
        <f>IF($C194&gt;0,(IF($DA$7&gt;=$C194+1, (-FV(InflationRate,$DA$7,,$F194)), 0)),0)</f>
        <v>0</v>
      </c>
      <c r="DD194" s="157">
        <f>IF($C194&gt;0,(IF($DA$7&gt;=$C194+1, (-FV(InflationRate,$DA$7,,$G194)), 0)),0)</f>
        <v>0</v>
      </c>
    </row>
    <row r="195" spans="2:108" x14ac:dyDescent="0.2">
      <c r="B195" s="182"/>
      <c r="C195" s="189"/>
      <c r="D195" s="168"/>
      <c r="E195" s="149"/>
      <c r="F195" s="149"/>
      <c r="G195" s="149"/>
      <c r="H195" s="168"/>
      <c r="I195" s="600"/>
      <c r="J195" s="600"/>
      <c r="K195" s="600"/>
      <c r="L195" s="600"/>
      <c r="M195" s="600"/>
      <c r="N195" s="600"/>
      <c r="O195" s="600"/>
      <c r="P195" s="600"/>
      <c r="Q195" s="600"/>
      <c r="R195" s="600"/>
      <c r="S195" s="600"/>
      <c r="T195" s="600"/>
      <c r="U195" s="600"/>
      <c r="V195" s="600"/>
      <c r="W195" s="600"/>
      <c r="X195" s="600"/>
      <c r="Y195" s="600"/>
      <c r="Z195" s="600"/>
      <c r="AA195" s="600"/>
      <c r="AB195" s="601"/>
      <c r="AC195" s="160"/>
      <c r="AD195" s="150"/>
      <c r="AE195" s="150"/>
      <c r="AF195" s="165"/>
      <c r="AG195" s="168"/>
      <c r="AH195" s="149"/>
      <c r="AI195" s="149"/>
      <c r="AJ195" s="171"/>
      <c r="AK195" s="160"/>
      <c r="AL195" s="150"/>
      <c r="AM195" s="150"/>
      <c r="AN195" s="165"/>
      <c r="AO195" s="168"/>
      <c r="AP195" s="149"/>
      <c r="AQ195" s="149"/>
      <c r="AR195" s="157"/>
      <c r="AS195" s="160"/>
      <c r="AT195" s="150"/>
      <c r="AU195" s="150"/>
      <c r="AV195" s="165"/>
      <c r="AW195" s="168"/>
      <c r="AX195" s="149"/>
      <c r="AY195" s="149"/>
      <c r="AZ195" s="157"/>
      <c r="BA195" s="160"/>
      <c r="BB195" s="150"/>
      <c r="BC195" s="150"/>
      <c r="BD195" s="176"/>
      <c r="BE195" s="168"/>
      <c r="BF195" s="149"/>
      <c r="BG195" s="149"/>
      <c r="BH195" s="171"/>
      <c r="BI195" s="160"/>
      <c r="BJ195" s="150"/>
      <c r="BK195" s="150"/>
      <c r="BL195" s="176"/>
      <c r="BM195" s="168"/>
      <c r="BN195" s="149"/>
      <c r="BO195" s="149"/>
      <c r="BP195" s="157"/>
      <c r="BQ195" s="160"/>
      <c r="BR195" s="150"/>
      <c r="BS195" s="150"/>
      <c r="BT195" s="176"/>
      <c r="BU195" s="168"/>
      <c r="BV195" s="149"/>
      <c r="BW195" s="149"/>
      <c r="BX195" s="157"/>
      <c r="BY195" s="160"/>
      <c r="BZ195" s="150"/>
      <c r="CA195" s="150"/>
      <c r="CB195" s="176"/>
      <c r="CC195" s="168"/>
      <c r="CD195" s="149"/>
      <c r="CE195" s="149"/>
      <c r="CF195" s="157"/>
      <c r="CG195" s="160"/>
      <c r="CH195" s="150"/>
      <c r="CI195" s="150"/>
      <c r="CJ195" s="176"/>
      <c r="CK195" s="168"/>
      <c r="CL195" s="149"/>
      <c r="CM195" s="149"/>
      <c r="CN195" s="157"/>
      <c r="CO195" s="160"/>
      <c r="CP195" s="150"/>
      <c r="CQ195" s="150"/>
      <c r="CR195" s="176"/>
      <c r="CS195" s="168"/>
      <c r="CT195" s="149"/>
      <c r="CU195" s="149"/>
      <c r="CV195" s="157"/>
      <c r="CW195" s="160"/>
      <c r="CX195" s="150"/>
      <c r="CY195" s="150"/>
      <c r="CZ195" s="176"/>
      <c r="DA195" s="168"/>
      <c r="DB195" s="149"/>
      <c r="DC195" s="149"/>
      <c r="DD195" s="157"/>
    </row>
    <row r="196" spans="2:108" x14ac:dyDescent="0.2">
      <c r="B196" s="188" t="s">
        <v>38</v>
      </c>
      <c r="C196" s="193"/>
      <c r="D196" s="168"/>
      <c r="E196" s="149"/>
      <c r="F196" s="149"/>
      <c r="G196" s="149"/>
      <c r="H196" s="168"/>
      <c r="I196" s="600"/>
      <c r="J196" s="600"/>
      <c r="K196" s="600"/>
      <c r="L196" s="600"/>
      <c r="M196" s="600"/>
      <c r="N196" s="600"/>
      <c r="O196" s="600"/>
      <c r="P196" s="600"/>
      <c r="Q196" s="600"/>
      <c r="R196" s="600"/>
      <c r="S196" s="600"/>
      <c r="T196" s="600"/>
      <c r="U196" s="600"/>
      <c r="V196" s="600"/>
      <c r="W196" s="600"/>
      <c r="X196" s="600"/>
      <c r="Y196" s="600"/>
      <c r="Z196" s="600"/>
      <c r="AA196" s="600"/>
      <c r="AB196" s="601"/>
      <c r="AC196" s="160"/>
      <c r="AD196" s="150"/>
      <c r="AE196" s="150"/>
      <c r="AF196" s="165"/>
      <c r="AG196" s="168"/>
      <c r="AH196" s="149"/>
      <c r="AI196" s="149"/>
      <c r="AJ196" s="171"/>
      <c r="AK196" s="160"/>
      <c r="AL196" s="150"/>
      <c r="AM196" s="150"/>
      <c r="AN196" s="165"/>
      <c r="AO196" s="168"/>
      <c r="AP196" s="149"/>
      <c r="AQ196" s="149"/>
      <c r="AR196" s="157"/>
      <c r="AS196" s="160"/>
      <c r="AT196" s="150"/>
      <c r="AU196" s="150"/>
      <c r="AV196" s="165"/>
      <c r="AW196" s="168"/>
      <c r="AX196" s="149"/>
      <c r="AY196" s="149"/>
      <c r="AZ196" s="157"/>
      <c r="BA196" s="160"/>
      <c r="BB196" s="150"/>
      <c r="BC196" s="150"/>
      <c r="BD196" s="176"/>
      <c r="BE196" s="168"/>
      <c r="BF196" s="149"/>
      <c r="BG196" s="149"/>
      <c r="BH196" s="171"/>
      <c r="BI196" s="160"/>
      <c r="BJ196" s="150"/>
      <c r="BK196" s="150"/>
      <c r="BL196" s="176"/>
      <c r="BM196" s="168"/>
      <c r="BN196" s="149"/>
      <c r="BO196" s="149"/>
      <c r="BP196" s="157"/>
      <c r="BQ196" s="160"/>
      <c r="BR196" s="150"/>
      <c r="BS196" s="150"/>
      <c r="BT196" s="176"/>
      <c r="BU196" s="168"/>
      <c r="BV196" s="149"/>
      <c r="BW196" s="149"/>
      <c r="BX196" s="157"/>
      <c r="BY196" s="160"/>
      <c r="BZ196" s="150"/>
      <c r="CA196" s="150"/>
      <c r="CB196" s="176"/>
      <c r="CC196" s="168"/>
      <c r="CD196" s="149"/>
      <c r="CE196" s="149"/>
      <c r="CF196" s="157"/>
      <c r="CG196" s="160"/>
      <c r="CH196" s="150"/>
      <c r="CI196" s="150"/>
      <c r="CJ196" s="176"/>
      <c r="CK196" s="168"/>
      <c r="CL196" s="149"/>
      <c r="CM196" s="149"/>
      <c r="CN196" s="157"/>
      <c r="CO196" s="160"/>
      <c r="CP196" s="150"/>
      <c r="CQ196" s="150"/>
      <c r="CR196" s="176"/>
      <c r="CS196" s="168"/>
      <c r="CT196" s="149"/>
      <c r="CU196" s="149"/>
      <c r="CV196" s="157"/>
      <c r="CW196" s="160"/>
      <c r="CX196" s="150"/>
      <c r="CY196" s="150"/>
      <c r="CZ196" s="176"/>
      <c r="DA196" s="168"/>
      <c r="DB196" s="149"/>
      <c r="DC196" s="149"/>
      <c r="DD196" s="157"/>
    </row>
    <row r="197" spans="2:108" ht="24" x14ac:dyDescent="0.2">
      <c r="B197" s="182" t="str">
        <f>'PRB - D1'!B5</f>
        <v>Permeable Reactive Barriers - Demonstration 1 - Landfill Focused Injection Test</v>
      </c>
      <c r="C197" s="189"/>
      <c r="D197" s="194">
        <f>'PRB - D1'!F34</f>
        <v>235900</v>
      </c>
      <c r="E197" s="195">
        <f>'PRB - D1'!F63</f>
        <v>0</v>
      </c>
      <c r="F197" s="195">
        <f>'PRB - D1'!F94</f>
        <v>21300</v>
      </c>
      <c r="G197" s="195">
        <f>'PRB - D1'!F123</f>
        <v>107700</v>
      </c>
      <c r="H197" s="168"/>
      <c r="I197" s="600"/>
      <c r="J197" s="600"/>
      <c r="K197" s="600"/>
      <c r="L197" s="600"/>
      <c r="M197" s="600"/>
      <c r="N197" s="600"/>
      <c r="O197" s="600"/>
      <c r="P197" s="600"/>
      <c r="Q197" s="600"/>
      <c r="R197" s="600"/>
      <c r="S197" s="600"/>
      <c r="T197" s="600"/>
      <c r="U197" s="600"/>
      <c r="V197" s="600"/>
      <c r="W197" s="600"/>
      <c r="X197" s="600"/>
      <c r="Y197" s="600"/>
      <c r="Z197" s="600"/>
      <c r="AA197" s="600"/>
      <c r="AB197" s="601"/>
      <c r="AC197" s="160"/>
      <c r="AD197" s="150"/>
      <c r="AE197" s="150"/>
      <c r="AF197" s="165"/>
      <c r="AG197" s="168"/>
      <c r="AH197" s="149"/>
      <c r="AI197" s="149"/>
      <c r="AJ197" s="171"/>
      <c r="AK197" s="160"/>
      <c r="AL197" s="150"/>
      <c r="AM197" s="150"/>
      <c r="AN197" s="165"/>
      <c r="AO197" s="168"/>
      <c r="AP197" s="149"/>
      <c r="AQ197" s="149"/>
      <c r="AR197" s="157"/>
      <c r="AS197" s="160"/>
      <c r="AT197" s="150"/>
      <c r="AU197" s="150"/>
      <c r="AV197" s="165"/>
      <c r="AW197" s="168"/>
      <c r="AX197" s="149"/>
      <c r="AY197" s="149"/>
      <c r="AZ197" s="157"/>
      <c r="BA197" s="160"/>
      <c r="BB197" s="150"/>
      <c r="BC197" s="150"/>
      <c r="BD197" s="176"/>
      <c r="BE197" s="168"/>
      <c r="BF197" s="149"/>
      <c r="BG197" s="149"/>
      <c r="BH197" s="171"/>
      <c r="BI197" s="160"/>
      <c r="BJ197" s="150"/>
      <c r="BK197" s="150"/>
      <c r="BL197" s="176"/>
      <c r="BM197" s="168"/>
      <c r="BN197" s="149"/>
      <c r="BO197" s="149"/>
      <c r="BP197" s="157"/>
      <c r="BQ197" s="160"/>
      <c r="BR197" s="150"/>
      <c r="BS197" s="150"/>
      <c r="BT197" s="176"/>
      <c r="BU197" s="168"/>
      <c r="BV197" s="149"/>
      <c r="BW197" s="149"/>
      <c r="BX197" s="157"/>
      <c r="BY197" s="160"/>
      <c r="BZ197" s="150"/>
      <c r="CA197" s="150"/>
      <c r="CB197" s="176"/>
      <c r="CC197" s="168"/>
      <c r="CD197" s="149"/>
      <c r="CE197" s="149"/>
      <c r="CF197" s="157"/>
      <c r="CG197" s="160"/>
      <c r="CH197" s="150"/>
      <c r="CI197" s="150"/>
      <c r="CJ197" s="176"/>
      <c r="CK197" s="168"/>
      <c r="CL197" s="149"/>
      <c r="CM197" s="149"/>
      <c r="CN197" s="157"/>
      <c r="CO197" s="160"/>
      <c r="CP197" s="150"/>
      <c r="CQ197" s="150"/>
      <c r="CR197" s="176"/>
      <c r="CS197" s="168"/>
      <c r="CT197" s="149"/>
      <c r="CU197" s="149"/>
      <c r="CV197" s="157"/>
      <c r="CW197" s="160"/>
      <c r="CX197" s="150"/>
      <c r="CY197" s="150"/>
      <c r="CZ197" s="176"/>
      <c r="DA197" s="168"/>
      <c r="DB197" s="149"/>
      <c r="DC197" s="149"/>
      <c r="DD197" s="157"/>
    </row>
    <row r="198" spans="2:108" x14ac:dyDescent="0.2">
      <c r="B198" s="183" t="s">
        <v>220</v>
      </c>
      <c r="C198" s="556">
        <v>1</v>
      </c>
      <c r="D198" s="168">
        <f>'PRB - D1'!F31+'PRB - D1'!F32</f>
        <v>26200</v>
      </c>
      <c r="E198" s="149"/>
      <c r="F198" s="149"/>
      <c r="G198" s="149"/>
      <c r="H198" s="168">
        <f>SUM(I198:AB198)</f>
        <v>25812.807881773402</v>
      </c>
      <c r="I198" s="610">
        <f>-PV(InterestRate,I$8,,(SUM(AC198:AF198)))</f>
        <v>25812.807881773402</v>
      </c>
      <c r="J198" s="610">
        <f>-PV(InterestRate,J$8,,(SUM(AG198:AJ198)))</f>
        <v>0</v>
      </c>
      <c r="K198" s="610">
        <f>-PV(InterestRate,K$8,,(SUM(AK198:AN198)))</f>
        <v>0</v>
      </c>
      <c r="L198" s="610">
        <f>-PV(InterestRate,L$8,,(SUM(AO198:AR198)))</f>
        <v>0</v>
      </c>
      <c r="M198" s="610">
        <f>-PV(InterestRate,M$8,,(SUM(AS198:AV198)))</f>
        <v>0</v>
      </c>
      <c r="N198" s="610">
        <f>-PV(InterestRate,N$8,,(SUM(AW198:AZ198)))</f>
        <v>0</v>
      </c>
      <c r="O198" s="610">
        <f>-PV(InterestRate,O$8,,(SUM(BA198:BD198)))</f>
        <v>0</v>
      </c>
      <c r="P198" s="610">
        <f>-PV(InterestRate,P$8,,(SUM(BE198:BH198)))</f>
        <v>0</v>
      </c>
      <c r="Q198" s="610">
        <f>-PV(InterestRate,Q$8,,(SUM(BI198:BL198)))</f>
        <v>0</v>
      </c>
      <c r="R198" s="610">
        <f>-PV(InterestRate,R$8,,(SUM(BM198:BP198)))</f>
        <v>0</v>
      </c>
      <c r="S198" s="610">
        <f>-PV(InterestRate,S$8,,(SUM(BQ198:BT198)))</f>
        <v>0</v>
      </c>
      <c r="T198" s="610">
        <f>-PV(InterestRate,T$8,,(SUM(BU198:BX198)))</f>
        <v>0</v>
      </c>
      <c r="U198" s="610">
        <f>-PV(InterestRate,U$8,,(SUM(BY198:CB198)))</f>
        <v>0</v>
      </c>
      <c r="V198" s="610">
        <f>-PV(InterestRate,V$8,,(SUM(CC198:CF198)))</f>
        <v>0</v>
      </c>
      <c r="W198" s="610">
        <f>-PV(InterestRate,W$8,,(SUM(CG198:CJ198)))</f>
        <v>0</v>
      </c>
      <c r="X198" s="610">
        <f>-PV(InterestRate,X$8,,(SUM(CK198:CN198)))</f>
        <v>0</v>
      </c>
      <c r="Y198" s="610">
        <f>-PV(InterestRate,Y$8,,(SUM(CO198:CR198)))</f>
        <v>0</v>
      </c>
      <c r="Z198" s="610">
        <f>-PV(InterestRate,Z$8,,(SUM(CS198:CV198)))</f>
        <v>0</v>
      </c>
      <c r="AA198" s="610">
        <f>-PV(InterestRate,AA$8,,(SUM(CW198:CZ198)))</f>
        <v>0</v>
      </c>
      <c r="AB198" s="611">
        <f>-PV(InterestRate,AB$8,,(SUM(DA198:DD198)))</f>
        <v>0</v>
      </c>
      <c r="AC198" s="160">
        <f>IF($C198&gt;0,(IF($C198=$AC$7,$D198,0)),0)</f>
        <v>26200</v>
      </c>
      <c r="AD198" s="150">
        <f>IF($C198&gt;0,(IF($AC$7&gt;=$C198+1,$E198,0)),0)</f>
        <v>0</v>
      </c>
      <c r="AE198" s="150">
        <f>IF($C198&gt;0,(IF($C198=$AC$7,$F198,0)),0)</f>
        <v>0</v>
      </c>
      <c r="AF198" s="165">
        <f>IF($C198&gt;0,(IF($AC$7&gt;=$C198+1,$G198,0)),0)</f>
        <v>0</v>
      </c>
      <c r="AG198" s="168">
        <f>IF($C198&gt;0,(IF($C198=$AG$7,(-FV(InflationRate,$AG$7,,$D198)),0)),0)</f>
        <v>0</v>
      </c>
      <c r="AH198" s="149">
        <f>IF($C198&gt;0,(IF($AG$7&gt;=$C198+1, (-FV(InflationRate,$AG$7,,$E198)), 0)),0)</f>
        <v>0</v>
      </c>
      <c r="AI198" s="149">
        <f>IF($C198&gt;0,(IF($AG$7&gt;=$C198+1, (-FV(InflationRate,$AG$7,,$F198)), 0)),0)</f>
        <v>0</v>
      </c>
      <c r="AJ198" s="171">
        <f>IF($C198&gt;0,(IF($AG$7&gt;=$C198+1, (-FV(InflationRate,$AG$7,,$G198)), 0)),0)</f>
        <v>0</v>
      </c>
      <c r="AK198" s="160">
        <f>IF($C198&gt;0,(IF($C198=$AK$7,(-FV(InflationRate,$AK$7,,$D198)),0)),0)</f>
        <v>0</v>
      </c>
      <c r="AL198" s="150">
        <f>IF($C198&gt;0,(IF($AK$7&gt;=$C198+1, (-FV(InflationRate,$AK$7,,$E198)), 0)),0)</f>
        <v>0</v>
      </c>
      <c r="AM198" s="150">
        <f>IF($C198&gt;0,(IF($AK$7&gt;=$C198+1, (-FV(InflationRate,$AK$7,,$F198)), 0)),0)</f>
        <v>0</v>
      </c>
      <c r="AN198" s="165">
        <f>IF($C198&gt;0,(IF($AK$7&gt;=$C198+1, (-FV(InflationRate,$AK$7,,$G198)), 0)),0)</f>
        <v>0</v>
      </c>
      <c r="AO198" s="168">
        <f>IF($C198&gt;0,(IF($C198=$AO$7,(-FV(InflationRate,$AO$7,,$D198)),0)),0)</f>
        <v>0</v>
      </c>
      <c r="AP198" s="149">
        <f>IF($C198&gt;0,(IF($AO$7&gt;=$C198+1, (-FV(InflationRate,$AO$7,,$E198)), 0)),0)</f>
        <v>0</v>
      </c>
      <c r="AQ198" s="149">
        <f>IF($C198&gt;0,(IF($AO$7&gt;=$C198+1, (-FV(InflationRate,$AO$7,,$F198)), 0)),0)</f>
        <v>0</v>
      </c>
      <c r="AR198" s="157">
        <f>IF($C198&gt;0,(IF($AO$7&gt;=$C198+1, (-FV(InflationRate,$AO$7,,$G198)), 0)),0)</f>
        <v>0</v>
      </c>
      <c r="AS198" s="160"/>
      <c r="AT198" s="150"/>
      <c r="AU198" s="150"/>
      <c r="AV198" s="165"/>
      <c r="AW198" s="168"/>
      <c r="AX198" s="149"/>
      <c r="AY198" s="149"/>
      <c r="AZ198" s="157"/>
      <c r="BA198" s="160"/>
      <c r="BB198" s="150"/>
      <c r="BC198" s="150"/>
      <c r="BD198" s="176"/>
      <c r="BE198" s="168"/>
      <c r="BF198" s="149"/>
      <c r="BG198" s="149"/>
      <c r="BH198" s="171"/>
      <c r="BI198" s="160"/>
      <c r="BJ198" s="150"/>
      <c r="BK198" s="150"/>
      <c r="BL198" s="176"/>
      <c r="BM198" s="168"/>
      <c r="BN198" s="149"/>
      <c r="BO198" s="149"/>
      <c r="BP198" s="157"/>
      <c r="BQ198" s="160"/>
      <c r="BR198" s="150"/>
      <c r="BS198" s="150"/>
      <c r="BT198" s="176"/>
      <c r="BU198" s="168"/>
      <c r="BV198" s="149"/>
      <c r="BW198" s="149"/>
      <c r="BX198" s="157"/>
      <c r="BY198" s="160"/>
      <c r="BZ198" s="150"/>
      <c r="CA198" s="150"/>
      <c r="CB198" s="176"/>
      <c r="CC198" s="168"/>
      <c r="CD198" s="149"/>
      <c r="CE198" s="149"/>
      <c r="CF198" s="157"/>
      <c r="CG198" s="160"/>
      <c r="CH198" s="150"/>
      <c r="CI198" s="150"/>
      <c r="CJ198" s="176"/>
      <c r="CK198" s="168"/>
      <c r="CL198" s="149"/>
      <c r="CM198" s="149"/>
      <c r="CN198" s="157"/>
      <c r="CO198" s="160"/>
      <c r="CP198" s="150"/>
      <c r="CQ198" s="150"/>
      <c r="CR198" s="176"/>
      <c r="CS198" s="168"/>
      <c r="CT198" s="149"/>
      <c r="CU198" s="149"/>
      <c r="CV198" s="157"/>
      <c r="CW198" s="160"/>
      <c r="CX198" s="150"/>
      <c r="CY198" s="150"/>
      <c r="CZ198" s="176"/>
      <c r="DA198" s="168"/>
      <c r="DB198" s="149"/>
      <c r="DC198" s="149"/>
      <c r="DD198" s="157"/>
    </row>
    <row r="199" spans="2:108" x14ac:dyDescent="0.2">
      <c r="B199" s="183" t="s">
        <v>270</v>
      </c>
      <c r="C199" s="556">
        <v>1</v>
      </c>
      <c r="D199" s="168">
        <f>D197-D198</f>
        <v>209700</v>
      </c>
      <c r="E199" s="149">
        <f>E197</f>
        <v>0</v>
      </c>
      <c r="F199" s="149"/>
      <c r="G199" s="149">
        <f>G197</f>
        <v>107700</v>
      </c>
      <c r="H199" s="168">
        <f>SUM(I199:AB199)</f>
        <v>544262.57455523696</v>
      </c>
      <c r="I199" s="610">
        <f>-PV(InterestRate,I$8,,(SUM(AC199:AF199)))</f>
        <v>206600.9852216749</v>
      </c>
      <c r="J199" s="610">
        <f>-PV(InterestRate,J$8,,(SUM(AG199:AJ199)))</f>
        <v>110906.77279235121</v>
      </c>
      <c r="K199" s="610">
        <f>-PV(InterestRate,K$8,,(SUM(AK199:AN199)))</f>
        <v>112545.78913903622</v>
      </c>
      <c r="L199" s="610">
        <f>-PV(InterestRate,L$8,,(SUM(AO199:AR199)))</f>
        <v>114209.0274021747</v>
      </c>
      <c r="M199" s="610">
        <f>-PV(InterestRate,M$8,,(SUM(AS199:AV199)))</f>
        <v>0</v>
      </c>
      <c r="N199" s="610">
        <f>-PV(InterestRate,N$8,,(SUM(AW199:AZ199)))</f>
        <v>0</v>
      </c>
      <c r="O199" s="610">
        <f>-PV(InterestRate,O$8,,(SUM(BA199:BD199)))</f>
        <v>0</v>
      </c>
      <c r="P199" s="610">
        <f>-PV(InterestRate,P$8,,(SUM(BE199:BH199)))</f>
        <v>0</v>
      </c>
      <c r="Q199" s="610">
        <f>-PV(InterestRate,Q$8,,(SUM(BI199:BL199)))</f>
        <v>0</v>
      </c>
      <c r="R199" s="610">
        <f>-PV(InterestRate,R$8,,(SUM(BM199:BP199)))</f>
        <v>0</v>
      </c>
      <c r="S199" s="610">
        <f>-PV(InterestRate,S$8,,(SUM(BQ199:BT199)))</f>
        <v>0</v>
      </c>
      <c r="T199" s="610">
        <f>-PV(InterestRate,T$8,,(SUM(BU199:BX199)))</f>
        <v>0</v>
      </c>
      <c r="U199" s="610">
        <f>-PV(InterestRate,U$8,,(SUM(BY199:CB199)))</f>
        <v>0</v>
      </c>
      <c r="V199" s="610">
        <f>-PV(InterestRate,V$8,,(SUM(CC199:CF199)))</f>
        <v>0</v>
      </c>
      <c r="W199" s="610">
        <f>-PV(InterestRate,W$8,,(SUM(CG199:CJ199)))</f>
        <v>0</v>
      </c>
      <c r="X199" s="610">
        <f>-PV(InterestRate,X$8,,(SUM(CK199:CN199)))</f>
        <v>0</v>
      </c>
      <c r="Y199" s="610">
        <f>-PV(InterestRate,Y$8,,(SUM(CO199:CR199)))</f>
        <v>0</v>
      </c>
      <c r="Z199" s="610">
        <f>-PV(InterestRate,Z$8,,(SUM(CS199:CV199)))</f>
        <v>0</v>
      </c>
      <c r="AA199" s="610">
        <f>-PV(InterestRate,AA$8,,(SUM(CW199:CZ199)))</f>
        <v>0</v>
      </c>
      <c r="AB199" s="611">
        <f>-PV(InterestRate,AB$8,,(SUM(DA199:DD199)))</f>
        <v>0</v>
      </c>
      <c r="AC199" s="160">
        <f>IF($C199&gt;0,(IF($C199=$AC$7,$D199,0)),0)</f>
        <v>209700</v>
      </c>
      <c r="AD199" s="150">
        <f>IF($C199&gt;0,(IF($AC$7&gt;=$C199+1,$E199,0)),0)</f>
        <v>0</v>
      </c>
      <c r="AE199" s="150">
        <f>IF($C199&gt;0,(IF($C199=$AC$7,$F199,0)),0)</f>
        <v>0</v>
      </c>
      <c r="AF199" s="165">
        <f>IF($C199&gt;0,(IF($AC$7&gt;=$C199+1,$G199,0)),0)</f>
        <v>0</v>
      </c>
      <c r="AG199" s="168">
        <f>IF($C199&gt;0,(IF($C199=$AG$7,(-FV(InflationRate,$AG$7,,$D199)),0)),0)</f>
        <v>0</v>
      </c>
      <c r="AH199" s="149">
        <f>IF($C199&gt;0,(IF($AG$7&gt;=$C199+1, (-FV(InflationRate,$AG$7,,$E199)), 0)),0)</f>
        <v>0</v>
      </c>
      <c r="AI199" s="149">
        <f>IF($C199&gt;0,(IF($AG$7&gt;=$C199+1, (-FV(InflationRate,$AG$7,,$F199)), 0)),0)</f>
        <v>0</v>
      </c>
      <c r="AJ199" s="171">
        <f>IF($C199&gt;0,(IF($AG$7&gt;=$C199+1, (-FV(InflationRate,$AG$7,,$G199)), 0)),0)</f>
        <v>114258.93</v>
      </c>
      <c r="AK199" s="160">
        <f>IF($C199&gt;0,(IF($C199=$AK$7,(-FV(InflationRate,$AK$7,,$D199)),0)),0)</f>
        <v>0</v>
      </c>
      <c r="AL199" s="150">
        <f>IF($C199&gt;0,(IF($AK$7&gt;=$C199+1, (-FV(InflationRate,$AK$7,,$E199)), 0)),0)</f>
        <v>0</v>
      </c>
      <c r="AM199" s="150">
        <f>IF($C199&gt;0,(IF($AK$7&gt;=$C199+1, (-FV(InflationRate,$AK$7,,$F199)), 0)),0)</f>
        <v>0</v>
      </c>
      <c r="AN199" s="165">
        <f>IF($C199&gt;0,(IF($AK$7&gt;=$C199+1, (-FV(InflationRate,$AK$7,,$G199)), 0)),0)</f>
        <v>117686.6979</v>
      </c>
      <c r="AO199" s="168">
        <f>IF($C199&gt;0,(IF($C199=$AO$7,(-FV(InflationRate,$AO$7,,$D199)),0)),0)</f>
        <v>0</v>
      </c>
      <c r="AP199" s="149">
        <f>IF($C199&gt;0,(IF($AO$7&gt;=$C199+1, (-FV(InflationRate,$AO$7,,$E199)), 0)),0)</f>
        <v>0</v>
      </c>
      <c r="AQ199" s="149">
        <f>IF($C199&gt;0,(IF($AO$7&gt;=$C199+1, (-FV(InflationRate,$AO$7,,$F199)), 0)),0)</f>
        <v>0</v>
      </c>
      <c r="AR199" s="157">
        <f>IF($C199&gt;0,(IF($AO$7&gt;=$C199+1, (-FV(InflationRate,$AO$7,,$G199)), 0)),0)</f>
        <v>121217.29883699999</v>
      </c>
      <c r="AS199" s="160"/>
      <c r="AT199" s="150"/>
      <c r="AU199" s="150"/>
      <c r="AV199" s="165"/>
      <c r="AW199" s="168"/>
      <c r="AX199" s="149"/>
      <c r="AY199" s="149"/>
      <c r="AZ199" s="157"/>
      <c r="BA199" s="160"/>
      <c r="BB199" s="150"/>
      <c r="BC199" s="150"/>
      <c r="BD199" s="176"/>
      <c r="BE199" s="168"/>
      <c r="BF199" s="149"/>
      <c r="BG199" s="149"/>
      <c r="BH199" s="171"/>
      <c r="BI199" s="160"/>
      <c r="BJ199" s="150"/>
      <c r="BK199" s="150"/>
      <c r="BL199" s="176"/>
      <c r="BM199" s="168"/>
      <c r="BN199" s="149"/>
      <c r="BO199" s="149"/>
      <c r="BP199" s="157"/>
      <c r="BQ199" s="160"/>
      <c r="BR199" s="150"/>
      <c r="BS199" s="150"/>
      <c r="BT199" s="176"/>
      <c r="BU199" s="168"/>
      <c r="BV199" s="149"/>
      <c r="BW199" s="149"/>
      <c r="BX199" s="157"/>
      <c r="BY199" s="160"/>
      <c r="BZ199" s="150"/>
      <c r="CA199" s="150"/>
      <c r="CB199" s="176"/>
      <c r="CC199" s="168"/>
      <c r="CD199" s="149"/>
      <c r="CE199" s="149"/>
      <c r="CF199" s="157"/>
      <c r="CG199" s="160"/>
      <c r="CH199" s="150"/>
      <c r="CI199" s="150"/>
      <c r="CJ199" s="176"/>
      <c r="CK199" s="168"/>
      <c r="CL199" s="149"/>
      <c r="CM199" s="149"/>
      <c r="CN199" s="157"/>
      <c r="CO199" s="160"/>
      <c r="CP199" s="150"/>
      <c r="CQ199" s="150"/>
      <c r="CR199" s="176"/>
      <c r="CS199" s="168"/>
      <c r="CT199" s="149"/>
      <c r="CU199" s="149"/>
      <c r="CV199" s="157"/>
      <c r="CW199" s="160"/>
      <c r="CX199" s="150"/>
      <c r="CY199" s="150"/>
      <c r="CZ199" s="176"/>
      <c r="DA199" s="168"/>
      <c r="DB199" s="149"/>
      <c r="DC199" s="149"/>
      <c r="DD199" s="157"/>
    </row>
    <row r="200" spans="2:108" x14ac:dyDescent="0.2">
      <c r="B200" s="183" t="s">
        <v>203</v>
      </c>
      <c r="C200" s="556">
        <v>2</v>
      </c>
      <c r="D200" s="168"/>
      <c r="E200" s="149"/>
      <c r="F200" s="149">
        <f>F197</f>
        <v>21300</v>
      </c>
      <c r="G200" s="149"/>
      <c r="H200" s="168">
        <f>SUM(I200:AB200)</f>
        <v>44845.660095894083</v>
      </c>
      <c r="I200" s="610">
        <f>-PV(InterestRate,I$8,,(SUM(AC200:AF200)))</f>
        <v>0</v>
      </c>
      <c r="J200" s="610">
        <f>-PV(InterestRate,J$8,,(SUM(AG200:AJ200)))</f>
        <v>0</v>
      </c>
      <c r="K200" s="610">
        <f>-PV(InterestRate,K$8,,(SUM(AK200:AN200)))</f>
        <v>22258.359411898527</v>
      </c>
      <c r="L200" s="610">
        <f>-PV(InterestRate,L$8,,(SUM(AO200:AR200)))</f>
        <v>22587.300683995552</v>
      </c>
      <c r="M200" s="610">
        <f>-PV(InterestRate,M$8,,(SUM(AS200:AV200)))</f>
        <v>0</v>
      </c>
      <c r="N200" s="610">
        <f>-PV(InterestRate,N$8,,(SUM(AW200:AZ200)))</f>
        <v>0</v>
      </c>
      <c r="O200" s="610">
        <f>-PV(InterestRate,O$8,,(SUM(BA200:BD200)))</f>
        <v>0</v>
      </c>
      <c r="P200" s="610">
        <f>-PV(InterestRate,P$8,,(SUM(BE200:BH200)))</f>
        <v>0</v>
      </c>
      <c r="Q200" s="610">
        <f>-PV(InterestRate,Q$8,,(SUM(BI200:BL200)))</f>
        <v>0</v>
      </c>
      <c r="R200" s="610">
        <f>-PV(InterestRate,R$8,,(SUM(BM200:BP200)))</f>
        <v>0</v>
      </c>
      <c r="S200" s="610">
        <f>-PV(InterestRate,S$8,,(SUM(BQ200:BT200)))</f>
        <v>0</v>
      </c>
      <c r="T200" s="610">
        <f>-PV(InterestRate,T$8,,(SUM(BU200:BX200)))</f>
        <v>0</v>
      </c>
      <c r="U200" s="610">
        <f>-PV(InterestRate,U$8,,(SUM(BY200:CB200)))</f>
        <v>0</v>
      </c>
      <c r="V200" s="610">
        <f>-PV(InterestRate,V$8,,(SUM(CC200:CF200)))</f>
        <v>0</v>
      </c>
      <c r="W200" s="610">
        <f>-PV(InterestRate,W$8,,(SUM(CG200:CJ200)))</f>
        <v>0</v>
      </c>
      <c r="X200" s="610">
        <f>-PV(InterestRate,X$8,,(SUM(CK200:CN200)))</f>
        <v>0</v>
      </c>
      <c r="Y200" s="610">
        <f>-PV(InterestRate,Y$8,,(SUM(CO200:CR200)))</f>
        <v>0</v>
      </c>
      <c r="Z200" s="610">
        <f>-PV(InterestRate,Z$8,,(SUM(CS200:CV200)))</f>
        <v>0</v>
      </c>
      <c r="AA200" s="610">
        <f>-PV(InterestRate,AA$8,,(SUM(CW200:CZ200)))</f>
        <v>0</v>
      </c>
      <c r="AB200" s="611">
        <f>-PV(InterestRate,AB$8,,(SUM(DA200:DD200)))</f>
        <v>0</v>
      </c>
      <c r="AC200" s="160">
        <f>IF($C200&gt;0,(IF($C200=$AC$7,$D200,0)),0)</f>
        <v>0</v>
      </c>
      <c r="AD200" s="150">
        <f>IF($C200&gt;0,(IF($AC$7&gt;=$C200+1,$E200,0)),0)</f>
        <v>0</v>
      </c>
      <c r="AE200" s="150">
        <f>IF($C200&gt;0,(IF($C200=$AC$7,$F200,0)),0)</f>
        <v>0</v>
      </c>
      <c r="AF200" s="165">
        <f>IF($C200&gt;0,(IF($AC$7&gt;=$C200+1,$G200,0)),0)</f>
        <v>0</v>
      </c>
      <c r="AG200" s="168">
        <f>IF($C200&gt;0,(IF($C200=$AG$7,(-FV(InflationRate,$AG$7,,$D200)),0)),0)</f>
        <v>0</v>
      </c>
      <c r="AH200" s="149">
        <f>IF($C200&gt;0,(IF($AG$7&gt;=$C200+1, (-FV(InflationRate,$AG$7,,$E200)), 0)),0)</f>
        <v>0</v>
      </c>
      <c r="AI200" s="149">
        <f>IF($C200&gt;0,(IF($AG$7&gt;=$C200+1, (-FV(InflationRate,$AG$7,,$F200)), 0)),0)</f>
        <v>0</v>
      </c>
      <c r="AJ200" s="171">
        <f>IF($C200&gt;0,(IF($AG$7&gt;=$C200+1, (-FV(InflationRate,$AG$7,,$G200)), 0)),0)</f>
        <v>0</v>
      </c>
      <c r="AK200" s="160">
        <f>IF($C200&gt;0,(IF($C200=$AK$7,(-FV(InflationRate,$AK$7,,$D200)),0)),0)</f>
        <v>0</v>
      </c>
      <c r="AL200" s="150">
        <f>IF($C200&gt;0,(IF($AK$7&gt;=$C200+1, (-FV(InflationRate,$AK$7,,$E200)), 0)),0)</f>
        <v>0</v>
      </c>
      <c r="AM200" s="150">
        <f>IF($C200&gt;0,(IF($AK$7&gt;=$C200+1, (-FV(InflationRate,$AK$7,,$F200)), 0)),0)</f>
        <v>23275.0851</v>
      </c>
      <c r="AN200" s="165">
        <f>IF($C200&gt;0,(IF($AK$7&gt;=$C200+1, (-FV(InflationRate,$AK$7,,$G200)), 0)),0)</f>
        <v>0</v>
      </c>
      <c r="AO200" s="168">
        <f>IF($C200&gt;0,(IF($C200=$AO$7,(-FV(InflationRate,$AO$7,,$D200)),0)),0)</f>
        <v>0</v>
      </c>
      <c r="AP200" s="149">
        <f>IF($C200&gt;0,(IF($AO$7&gt;=$C200+1, (-FV(InflationRate,$AO$7,,$E200)), 0)),0)</f>
        <v>0</v>
      </c>
      <c r="AQ200" s="149">
        <f>IF($C200&gt;0,(IF($AO$7&gt;=$C200+1, (-FV(InflationRate,$AO$7,,$F200)), 0)),0)</f>
        <v>23973.337652999999</v>
      </c>
      <c r="AR200" s="157">
        <f>IF($C200&gt;0,(IF($AO$7&gt;=$C200+1, (-FV(InflationRate,$AO$7,,$G200)), 0)),0)</f>
        <v>0</v>
      </c>
      <c r="AS200" s="160"/>
      <c r="AT200" s="150"/>
      <c r="AU200" s="150"/>
      <c r="AV200" s="165"/>
      <c r="AW200" s="168"/>
      <c r="AX200" s="149"/>
      <c r="AY200" s="149"/>
      <c r="AZ200" s="157"/>
      <c r="BA200" s="160"/>
      <c r="BB200" s="150"/>
      <c r="BC200" s="150"/>
      <c r="BD200" s="176"/>
      <c r="BE200" s="168"/>
      <c r="BF200" s="149"/>
      <c r="BG200" s="149"/>
      <c r="BH200" s="171"/>
      <c r="BI200" s="160"/>
      <c r="BJ200" s="150"/>
      <c r="BK200" s="150"/>
      <c r="BL200" s="176"/>
      <c r="BM200" s="168"/>
      <c r="BN200" s="149"/>
      <c r="BO200" s="149"/>
      <c r="BP200" s="157"/>
      <c r="BQ200" s="160"/>
      <c r="BR200" s="150"/>
      <c r="BS200" s="150"/>
      <c r="BT200" s="176"/>
      <c r="BU200" s="168"/>
      <c r="BV200" s="149"/>
      <c r="BW200" s="149"/>
      <c r="BX200" s="157"/>
      <c r="BY200" s="160"/>
      <c r="BZ200" s="150"/>
      <c r="CA200" s="150"/>
      <c r="CB200" s="176"/>
      <c r="CC200" s="168"/>
      <c r="CD200" s="149"/>
      <c r="CE200" s="149"/>
      <c r="CF200" s="157"/>
      <c r="CG200" s="160"/>
      <c r="CH200" s="150"/>
      <c r="CI200" s="150"/>
      <c r="CJ200" s="176"/>
      <c r="CK200" s="168"/>
      <c r="CL200" s="149"/>
      <c r="CM200" s="149"/>
      <c r="CN200" s="157"/>
      <c r="CO200" s="160"/>
      <c r="CP200" s="150"/>
      <c r="CQ200" s="150"/>
      <c r="CR200" s="176"/>
      <c r="CS200" s="168"/>
      <c r="CT200" s="149"/>
      <c r="CU200" s="149"/>
      <c r="CV200" s="157"/>
      <c r="CW200" s="160"/>
      <c r="CX200" s="150"/>
      <c r="CY200" s="150"/>
      <c r="CZ200" s="176"/>
      <c r="DA200" s="168"/>
      <c r="DB200" s="149"/>
      <c r="DC200" s="149"/>
      <c r="DD200" s="157"/>
    </row>
    <row r="201" spans="2:108" x14ac:dyDescent="0.2">
      <c r="B201" s="182"/>
      <c r="C201" s="189"/>
      <c r="D201" s="168"/>
      <c r="E201" s="149"/>
      <c r="F201" s="149"/>
      <c r="G201" s="149"/>
      <c r="H201" s="168"/>
      <c r="I201" s="600"/>
      <c r="J201" s="600"/>
      <c r="K201" s="600"/>
      <c r="L201" s="600"/>
      <c r="M201" s="600"/>
      <c r="N201" s="600"/>
      <c r="O201" s="600"/>
      <c r="P201" s="600"/>
      <c r="Q201" s="600"/>
      <c r="R201" s="600"/>
      <c r="S201" s="600"/>
      <c r="T201" s="600"/>
      <c r="U201" s="600"/>
      <c r="V201" s="600"/>
      <c r="W201" s="600"/>
      <c r="X201" s="600"/>
      <c r="Y201" s="600"/>
      <c r="Z201" s="600"/>
      <c r="AA201" s="600"/>
      <c r="AB201" s="601"/>
      <c r="AC201" s="160"/>
      <c r="AD201" s="150"/>
      <c r="AE201" s="150"/>
      <c r="AF201" s="165"/>
      <c r="AG201" s="168"/>
      <c r="AH201" s="149"/>
      <c r="AI201" s="149"/>
      <c r="AJ201" s="171"/>
      <c r="AK201" s="160"/>
      <c r="AL201" s="150"/>
      <c r="AM201" s="150"/>
      <c r="AN201" s="165"/>
      <c r="AO201" s="168"/>
      <c r="AP201" s="149"/>
      <c r="AQ201" s="149"/>
      <c r="AR201" s="157"/>
      <c r="AS201" s="160"/>
      <c r="AT201" s="150"/>
      <c r="AU201" s="150"/>
      <c r="AV201" s="165"/>
      <c r="AW201" s="168"/>
      <c r="AX201" s="149"/>
      <c r="AY201" s="149"/>
      <c r="AZ201" s="157"/>
      <c r="BA201" s="160"/>
      <c r="BB201" s="150"/>
      <c r="BC201" s="150"/>
      <c r="BD201" s="176"/>
      <c r="BE201" s="168"/>
      <c r="BF201" s="149"/>
      <c r="BG201" s="149"/>
      <c r="BH201" s="171"/>
      <c r="BI201" s="160"/>
      <c r="BJ201" s="150"/>
      <c r="BK201" s="150"/>
      <c r="BL201" s="176"/>
      <c r="BM201" s="168"/>
      <c r="BN201" s="149"/>
      <c r="BO201" s="149"/>
      <c r="BP201" s="157"/>
      <c r="BQ201" s="160"/>
      <c r="BR201" s="150"/>
      <c r="BS201" s="150"/>
      <c r="BT201" s="176"/>
      <c r="BU201" s="168"/>
      <c r="BV201" s="149"/>
      <c r="BW201" s="149"/>
      <c r="BX201" s="157"/>
      <c r="BY201" s="160"/>
      <c r="BZ201" s="150"/>
      <c r="CA201" s="150"/>
      <c r="CB201" s="176"/>
      <c r="CC201" s="168"/>
      <c r="CD201" s="149"/>
      <c r="CE201" s="149"/>
      <c r="CF201" s="157"/>
      <c r="CG201" s="160"/>
      <c r="CH201" s="150"/>
      <c r="CI201" s="150"/>
      <c r="CJ201" s="176"/>
      <c r="CK201" s="168"/>
      <c r="CL201" s="149"/>
      <c r="CM201" s="149"/>
      <c r="CN201" s="157"/>
      <c r="CO201" s="160"/>
      <c r="CP201" s="150"/>
      <c r="CQ201" s="150"/>
      <c r="CR201" s="176"/>
      <c r="CS201" s="168"/>
      <c r="CT201" s="149"/>
      <c r="CU201" s="149"/>
      <c r="CV201" s="157"/>
      <c r="CW201" s="160"/>
      <c r="CX201" s="150"/>
      <c r="CY201" s="150"/>
      <c r="CZ201" s="176"/>
      <c r="DA201" s="168"/>
      <c r="DB201" s="149"/>
      <c r="DC201" s="149"/>
      <c r="DD201" s="157"/>
    </row>
    <row r="202" spans="2:108" ht="24" x14ac:dyDescent="0.2">
      <c r="B202" s="182" t="str">
        <f>'PRB - D2'!B5</f>
        <v>Permeable Reactive Barriers - Demonstration 2 (Eldredge Park South Main St. Area)</v>
      </c>
      <c r="C202" s="189"/>
      <c r="D202" s="194">
        <f>'PRB - D2'!F34</f>
        <v>763900</v>
      </c>
      <c r="E202" s="195">
        <f>'PRB - D2'!F63</f>
        <v>0</v>
      </c>
      <c r="F202" s="195">
        <f>'PRB - D2'!F94</f>
        <v>58800</v>
      </c>
      <c r="G202" s="195">
        <f>'PRB - D2'!F123</f>
        <v>267300</v>
      </c>
      <c r="H202" s="168"/>
      <c r="I202" s="600"/>
      <c r="J202" s="600"/>
      <c r="K202" s="600"/>
      <c r="L202" s="600"/>
      <c r="M202" s="600"/>
      <c r="N202" s="600"/>
      <c r="O202" s="600"/>
      <c r="P202" s="600"/>
      <c r="Q202" s="600"/>
      <c r="R202" s="600"/>
      <c r="S202" s="600"/>
      <c r="T202" s="600"/>
      <c r="U202" s="600"/>
      <c r="V202" s="600"/>
      <c r="W202" s="600"/>
      <c r="X202" s="600"/>
      <c r="Y202" s="600"/>
      <c r="Z202" s="600"/>
      <c r="AA202" s="600"/>
      <c r="AB202" s="601"/>
      <c r="AC202" s="160"/>
      <c r="AD202" s="150"/>
      <c r="AE202" s="150"/>
      <c r="AF202" s="165"/>
      <c r="AG202" s="168"/>
      <c r="AH202" s="149"/>
      <c r="AI202" s="149"/>
      <c r="AJ202" s="171"/>
      <c r="AK202" s="160"/>
      <c r="AL202" s="150"/>
      <c r="AM202" s="150"/>
      <c r="AN202" s="165"/>
      <c r="AO202" s="168"/>
      <c r="AP202" s="149"/>
      <c r="AQ202" s="149"/>
      <c r="AR202" s="157"/>
      <c r="AS202" s="160"/>
      <c r="AT202" s="150"/>
      <c r="AU202" s="150"/>
      <c r="AV202" s="165"/>
      <c r="AW202" s="168"/>
      <c r="AX202" s="149"/>
      <c r="AY202" s="149"/>
      <c r="AZ202" s="157"/>
      <c r="BA202" s="160"/>
      <c r="BB202" s="150"/>
      <c r="BC202" s="150"/>
      <c r="BD202" s="176"/>
      <c r="BE202" s="168"/>
      <c r="BF202" s="149"/>
      <c r="BG202" s="149"/>
      <c r="BH202" s="171"/>
      <c r="BI202" s="160"/>
      <c r="BJ202" s="150"/>
      <c r="BK202" s="150"/>
      <c r="BL202" s="176"/>
      <c r="BM202" s="168"/>
      <c r="BN202" s="149"/>
      <c r="BO202" s="149"/>
      <c r="BP202" s="157"/>
      <c r="BQ202" s="160"/>
      <c r="BR202" s="150"/>
      <c r="BS202" s="150"/>
      <c r="BT202" s="176"/>
      <c r="BU202" s="168"/>
      <c r="BV202" s="149"/>
      <c r="BW202" s="149"/>
      <c r="BX202" s="157"/>
      <c r="BY202" s="160"/>
      <c r="BZ202" s="150"/>
      <c r="CA202" s="150"/>
      <c r="CB202" s="176"/>
      <c r="CC202" s="168"/>
      <c r="CD202" s="149"/>
      <c r="CE202" s="149"/>
      <c r="CF202" s="157"/>
      <c r="CG202" s="160"/>
      <c r="CH202" s="150"/>
      <c r="CI202" s="150"/>
      <c r="CJ202" s="176"/>
      <c r="CK202" s="168"/>
      <c r="CL202" s="149"/>
      <c r="CM202" s="149"/>
      <c r="CN202" s="157"/>
      <c r="CO202" s="160"/>
      <c r="CP202" s="150"/>
      <c r="CQ202" s="150"/>
      <c r="CR202" s="176"/>
      <c r="CS202" s="168"/>
      <c r="CT202" s="149"/>
      <c r="CU202" s="149"/>
      <c r="CV202" s="157"/>
      <c r="CW202" s="160"/>
      <c r="CX202" s="150"/>
      <c r="CY202" s="150"/>
      <c r="CZ202" s="176"/>
      <c r="DA202" s="168"/>
      <c r="DB202" s="149"/>
      <c r="DC202" s="149"/>
      <c r="DD202" s="157"/>
    </row>
    <row r="203" spans="2:108" x14ac:dyDescent="0.2">
      <c r="B203" s="183" t="s">
        <v>220</v>
      </c>
      <c r="C203" s="556">
        <v>1</v>
      </c>
      <c r="D203" s="168">
        <f>'PRB - D2'!F31+'PRB - D2'!F32</f>
        <v>84900</v>
      </c>
      <c r="E203" s="149"/>
      <c r="F203" s="149"/>
      <c r="G203" s="149"/>
      <c r="H203" s="168">
        <f>SUM(I203:AB203)</f>
        <v>83645.320197044348</v>
      </c>
      <c r="I203" s="610">
        <f>-PV(InterestRate,I$8,,(SUM(AC203:AF203)))</f>
        <v>83645.320197044348</v>
      </c>
      <c r="J203" s="610">
        <f>-PV(InterestRate,J$8,,(SUM(AG203:AJ203)))</f>
        <v>0</v>
      </c>
      <c r="K203" s="610">
        <f>-PV(InterestRate,K$8,,(SUM(AK203:AN203)))</f>
        <v>0</v>
      </c>
      <c r="L203" s="610">
        <f>-PV(InterestRate,L$8,,(SUM(AO203:AR203)))</f>
        <v>0</v>
      </c>
      <c r="M203" s="610">
        <f>-PV(InterestRate,M$8,,(SUM(AS203:AV203)))</f>
        <v>0</v>
      </c>
      <c r="N203" s="610">
        <f>-PV(InterestRate,N$8,,(SUM(AW203:AZ203)))</f>
        <v>0</v>
      </c>
      <c r="O203" s="610">
        <f>-PV(InterestRate,O$8,,(SUM(BA203:BD203)))</f>
        <v>0</v>
      </c>
      <c r="P203" s="610">
        <f>-PV(InterestRate,P$8,,(SUM(BE203:BH203)))</f>
        <v>0</v>
      </c>
      <c r="Q203" s="610">
        <f>-PV(InterestRate,Q$8,,(SUM(BI203:BL203)))</f>
        <v>0</v>
      </c>
      <c r="R203" s="610">
        <f>-PV(InterestRate,R$8,,(SUM(BM203:BP203)))</f>
        <v>0</v>
      </c>
      <c r="S203" s="610">
        <f>-PV(InterestRate,S$8,,(SUM(BQ203:BT203)))</f>
        <v>0</v>
      </c>
      <c r="T203" s="610">
        <f>-PV(InterestRate,T$8,,(SUM(BU203:BX203)))</f>
        <v>0</v>
      </c>
      <c r="U203" s="610">
        <f>-PV(InterestRate,U$8,,(SUM(BY203:CB203)))</f>
        <v>0</v>
      </c>
      <c r="V203" s="610">
        <f>-PV(InterestRate,V$8,,(SUM(CC203:CF203)))</f>
        <v>0</v>
      </c>
      <c r="W203" s="610">
        <f>-PV(InterestRate,W$8,,(SUM(CG203:CJ203)))</f>
        <v>0</v>
      </c>
      <c r="X203" s="610">
        <f>-PV(InterestRate,X$8,,(SUM(CK203:CN203)))</f>
        <v>0</v>
      </c>
      <c r="Y203" s="610">
        <f>-PV(InterestRate,Y$8,,(SUM(CO203:CR203)))</f>
        <v>0</v>
      </c>
      <c r="Z203" s="610">
        <f>-PV(InterestRate,Z$8,,(SUM(CS203:CV203)))</f>
        <v>0</v>
      </c>
      <c r="AA203" s="610">
        <f>-PV(InterestRate,AA$8,,(SUM(CW203:CZ203)))</f>
        <v>0</v>
      </c>
      <c r="AB203" s="611">
        <f>-PV(InterestRate,AB$8,,(SUM(DA203:DD203)))</f>
        <v>0</v>
      </c>
      <c r="AC203" s="160">
        <f>IF($C203&gt;0,(IF($C203=$AC$7,$D203,0)),0)</f>
        <v>84900</v>
      </c>
      <c r="AD203" s="150">
        <f>IF($C203&gt;0,(IF($AC$7&gt;=$C203+1,$E203,0)),0)</f>
        <v>0</v>
      </c>
      <c r="AE203" s="150">
        <f>IF($C203&gt;0,(IF($C203=$AC$7,$F203,0)),0)</f>
        <v>0</v>
      </c>
      <c r="AF203" s="165">
        <f>IF($C203&gt;0,(IF($AC$7&gt;=$C203+1,$G203,0)),0)</f>
        <v>0</v>
      </c>
      <c r="AG203" s="168">
        <f>IF($C203&gt;0,(IF($C203=$AG$7,(-FV(InflationRate,$AG$7,,$D203)),0)),0)</f>
        <v>0</v>
      </c>
      <c r="AH203" s="149">
        <f>IF($C203&gt;0,(IF($AG$7&gt;=$C203+1, (-FV(InflationRate,$AG$7,,$E203)), 0)),0)</f>
        <v>0</v>
      </c>
      <c r="AI203" s="149">
        <f>IF($C203&gt;0,(IF($AG$7&gt;=$C203+1, (-FV(InflationRate,$AG$7,,$F203)), 0)),0)</f>
        <v>0</v>
      </c>
      <c r="AJ203" s="171">
        <f>IF($C203&gt;0,(IF($AG$7&gt;=$C203+1, (-FV(InflationRate,$AG$7,,$G203)), 0)),0)</f>
        <v>0</v>
      </c>
      <c r="AK203" s="160">
        <f>IF($C203&gt;0,(IF($C203=$AK$7,(-FV(InflationRate,$AK$7,,$D203)),0)),0)</f>
        <v>0</v>
      </c>
      <c r="AL203" s="150">
        <f>IF($C203&gt;0,(IF($AK$7&gt;=$C203+1, (-FV(InflationRate,$AK$7,,$E203)), 0)),0)</f>
        <v>0</v>
      </c>
      <c r="AM203" s="150">
        <f>IF($C203&gt;0,(IF($AK$7&gt;=$C203+1, (-FV(InflationRate,$AK$7,,$F203)), 0)),0)</f>
        <v>0</v>
      </c>
      <c r="AN203" s="165">
        <f>IF($C203&gt;0,(IF($AK$7&gt;=$C203+1, (-FV(InflationRate,$AK$7,,$G203)), 0)),0)</f>
        <v>0</v>
      </c>
      <c r="AO203" s="168">
        <f>IF($C203&gt;0,(IF($C203=$AO$7,(-FV(InflationRate,$AO$7,,$D203)),0)),0)</f>
        <v>0</v>
      </c>
      <c r="AP203" s="149">
        <f>IF($C203&gt;0,(IF($AO$7&gt;=$C203+1, (-FV(InflationRate,$AO$7,,$E203)), 0)),0)</f>
        <v>0</v>
      </c>
      <c r="AQ203" s="149">
        <f>IF($C203&gt;0,(IF($AO$7&gt;=$C203+1, (-FV(InflationRate,$AO$7,,$F203)), 0)),0)</f>
        <v>0</v>
      </c>
      <c r="AR203" s="157">
        <f>IF($C203&gt;0,(IF($AO$7&gt;=$C203+1, (-FV(InflationRate,$AO$7,,$G203)), 0)),0)</f>
        <v>0</v>
      </c>
      <c r="AS203" s="160"/>
      <c r="AT203" s="150"/>
      <c r="AU203" s="150"/>
      <c r="AV203" s="165"/>
      <c r="AW203" s="168"/>
      <c r="AX203" s="149"/>
      <c r="AY203" s="149"/>
      <c r="AZ203" s="157"/>
      <c r="BA203" s="160"/>
      <c r="BB203" s="150"/>
      <c r="BC203" s="150"/>
      <c r="BD203" s="176"/>
      <c r="BE203" s="168"/>
      <c r="BF203" s="149"/>
      <c r="BG203" s="149"/>
      <c r="BH203" s="171"/>
      <c r="BI203" s="160"/>
      <c r="BJ203" s="150"/>
      <c r="BK203" s="150"/>
      <c r="BL203" s="176"/>
      <c r="BM203" s="168"/>
      <c r="BN203" s="149"/>
      <c r="BO203" s="149"/>
      <c r="BP203" s="157"/>
      <c r="BQ203" s="160"/>
      <c r="BR203" s="150"/>
      <c r="BS203" s="150"/>
      <c r="BT203" s="176"/>
      <c r="BU203" s="168"/>
      <c r="BV203" s="149"/>
      <c r="BW203" s="149"/>
      <c r="BX203" s="157"/>
      <c r="BY203" s="160"/>
      <c r="BZ203" s="150"/>
      <c r="CA203" s="150"/>
      <c r="CB203" s="176"/>
      <c r="CC203" s="168"/>
      <c r="CD203" s="149"/>
      <c r="CE203" s="149"/>
      <c r="CF203" s="157"/>
      <c r="CG203" s="160"/>
      <c r="CH203" s="150"/>
      <c r="CI203" s="150"/>
      <c r="CJ203" s="176"/>
      <c r="CK203" s="168"/>
      <c r="CL203" s="149"/>
      <c r="CM203" s="149"/>
      <c r="CN203" s="157"/>
      <c r="CO203" s="160"/>
      <c r="CP203" s="150"/>
      <c r="CQ203" s="150"/>
      <c r="CR203" s="176"/>
      <c r="CS203" s="168"/>
      <c r="CT203" s="149"/>
      <c r="CU203" s="149"/>
      <c r="CV203" s="157"/>
      <c r="CW203" s="160"/>
      <c r="CX203" s="150"/>
      <c r="CY203" s="150"/>
      <c r="CZ203" s="176"/>
      <c r="DA203" s="168"/>
      <c r="DB203" s="149"/>
      <c r="DC203" s="149"/>
      <c r="DD203" s="157"/>
    </row>
    <row r="204" spans="2:108" x14ac:dyDescent="0.2">
      <c r="B204" s="183" t="s">
        <v>270</v>
      </c>
      <c r="C204" s="556">
        <v>2</v>
      </c>
      <c r="D204" s="168">
        <f>D202-D203</f>
        <v>679000</v>
      </c>
      <c r="E204" s="149">
        <f>E202</f>
        <v>0</v>
      </c>
      <c r="F204" s="149"/>
      <c r="G204" s="149">
        <f>G202</f>
        <v>267300</v>
      </c>
      <c r="H204" s="168">
        <f>SUM(I204:AB204)</f>
        <v>1261998.7111185901</v>
      </c>
      <c r="I204" s="610">
        <f>-PV(InterestRate,I$8,,(SUM(AC204:AF204)))</f>
        <v>0</v>
      </c>
      <c r="J204" s="610">
        <f>-PV(InterestRate,J$8,,(SUM(AG204:AJ204)))</f>
        <v>699217.25836589106</v>
      </c>
      <c r="K204" s="610">
        <f>-PV(InterestRate,K$8,,(SUM(AK204:AN204)))</f>
        <v>279326.73571833229</v>
      </c>
      <c r="L204" s="610">
        <f>-PV(InterestRate,L$8,,(SUM(AO204:AR204)))</f>
        <v>283454.71703436674</v>
      </c>
      <c r="M204" s="610">
        <f>-PV(InterestRate,M$8,,(SUM(AS204:AV204)))</f>
        <v>0</v>
      </c>
      <c r="N204" s="610">
        <f>-PV(InterestRate,N$8,,(SUM(AW204:AZ204)))</f>
        <v>0</v>
      </c>
      <c r="O204" s="610">
        <f>-PV(InterestRate,O$8,,(SUM(BA204:BD204)))</f>
        <v>0</v>
      </c>
      <c r="P204" s="610">
        <f>-PV(InterestRate,P$8,,(SUM(BE204:BH204)))</f>
        <v>0</v>
      </c>
      <c r="Q204" s="610">
        <f>-PV(InterestRate,Q$8,,(SUM(BI204:BL204)))</f>
        <v>0</v>
      </c>
      <c r="R204" s="610">
        <f>-PV(InterestRate,R$8,,(SUM(BM204:BP204)))</f>
        <v>0</v>
      </c>
      <c r="S204" s="610">
        <f>-PV(InterestRate,S$8,,(SUM(BQ204:BT204)))</f>
        <v>0</v>
      </c>
      <c r="T204" s="610">
        <f>-PV(InterestRate,T$8,,(SUM(BU204:BX204)))</f>
        <v>0</v>
      </c>
      <c r="U204" s="610">
        <f>-PV(InterestRate,U$8,,(SUM(BY204:CB204)))</f>
        <v>0</v>
      </c>
      <c r="V204" s="610">
        <f>-PV(InterestRate,V$8,,(SUM(CC204:CF204)))</f>
        <v>0</v>
      </c>
      <c r="W204" s="610">
        <f>-PV(InterestRate,W$8,,(SUM(CG204:CJ204)))</f>
        <v>0</v>
      </c>
      <c r="X204" s="610">
        <f>-PV(InterestRate,X$8,,(SUM(CK204:CN204)))</f>
        <v>0</v>
      </c>
      <c r="Y204" s="610">
        <f>-PV(InterestRate,Y$8,,(SUM(CO204:CR204)))</f>
        <v>0</v>
      </c>
      <c r="Z204" s="610">
        <f>-PV(InterestRate,Z$8,,(SUM(CS204:CV204)))</f>
        <v>0</v>
      </c>
      <c r="AA204" s="610">
        <f>-PV(InterestRate,AA$8,,(SUM(CW204:CZ204)))</f>
        <v>0</v>
      </c>
      <c r="AB204" s="611">
        <f>-PV(InterestRate,AB$8,,(SUM(DA204:DD204)))</f>
        <v>0</v>
      </c>
      <c r="AC204" s="160">
        <f>IF($C204&gt;0,(IF($C204=$AC$7,$D204,0)),0)</f>
        <v>0</v>
      </c>
      <c r="AD204" s="150">
        <f>IF($C204&gt;0,(IF($AC$7&gt;=$C204+1,$E204,0)),0)</f>
        <v>0</v>
      </c>
      <c r="AE204" s="150">
        <f>IF($C204&gt;0,(IF($C204=$AC$7,$F204,0)),0)</f>
        <v>0</v>
      </c>
      <c r="AF204" s="165">
        <f>IF($C204&gt;0,(IF($AC$7&gt;=$C204+1,$G204,0)),0)</f>
        <v>0</v>
      </c>
      <c r="AG204" s="168">
        <f>IF($C204&gt;0,(IF($C204=$AG$7,(-FV(InflationRate,$AG$7,,$D204)),0)),0)</f>
        <v>720351.1</v>
      </c>
      <c r="AH204" s="149">
        <f>IF($C204&gt;0,(IF($AG$7&gt;=$C204+1, (-FV(InflationRate,$AG$7,,$E204)), 0)),0)</f>
        <v>0</v>
      </c>
      <c r="AI204" s="149">
        <f>IF($C204&gt;0,(IF($AG$7&gt;=$C204+1, (-FV(InflationRate,$AG$7,,$F204)), 0)),0)</f>
        <v>0</v>
      </c>
      <c r="AJ204" s="171">
        <f>IF($C204&gt;0,(IF($AG$7&gt;=$C204+1, (-FV(InflationRate,$AG$7,,$G204)), 0)),0)</f>
        <v>0</v>
      </c>
      <c r="AK204" s="160">
        <f>IF($C204&gt;0,(IF($C204=$AK$7,(-FV(InflationRate,$AK$7,,$D204)),0)),0)</f>
        <v>0</v>
      </c>
      <c r="AL204" s="150">
        <f>IF($C204&gt;0,(IF($AK$7&gt;=$C204+1, (-FV(InflationRate,$AK$7,,$E204)), 0)),0)</f>
        <v>0</v>
      </c>
      <c r="AM204" s="150">
        <f>IF($C204&gt;0,(IF($AK$7&gt;=$C204+1, (-FV(InflationRate,$AK$7,,$F204)), 0)),0)</f>
        <v>0</v>
      </c>
      <c r="AN204" s="165">
        <f>IF($C204&gt;0,(IF($AK$7&gt;=$C204+1, (-FV(InflationRate,$AK$7,,$G204)), 0)),0)</f>
        <v>292085.92710000003</v>
      </c>
      <c r="AO204" s="168">
        <f>IF($C204&gt;0,(IF($C204=$AO$7,(-FV(InflationRate,$AO$7,,$D204)),0)),0)</f>
        <v>0</v>
      </c>
      <c r="AP204" s="149">
        <f>IF($C204&gt;0,(IF($AO$7&gt;=$C204+1, (-FV(InflationRate,$AO$7,,$E204)), 0)),0)</f>
        <v>0</v>
      </c>
      <c r="AQ204" s="149">
        <f>IF($C204&gt;0,(IF($AO$7&gt;=$C204+1, (-FV(InflationRate,$AO$7,,$F204)), 0)),0)</f>
        <v>0</v>
      </c>
      <c r="AR204" s="157">
        <f>IF($C204&gt;0,(IF($AO$7&gt;=$C204+1, (-FV(InflationRate,$AO$7,,$G204)), 0)),0)</f>
        <v>300848.50491299998</v>
      </c>
      <c r="AS204" s="160"/>
      <c r="AT204" s="150"/>
      <c r="AU204" s="150"/>
      <c r="AV204" s="165"/>
      <c r="AW204" s="168"/>
      <c r="AX204" s="149"/>
      <c r="AY204" s="149"/>
      <c r="AZ204" s="157"/>
      <c r="BA204" s="160"/>
      <c r="BB204" s="150"/>
      <c r="BC204" s="150"/>
      <c r="BD204" s="176"/>
      <c r="BE204" s="168"/>
      <c r="BF204" s="149"/>
      <c r="BG204" s="149"/>
      <c r="BH204" s="171"/>
      <c r="BI204" s="160"/>
      <c r="BJ204" s="150"/>
      <c r="BK204" s="150"/>
      <c r="BL204" s="176"/>
      <c r="BM204" s="168"/>
      <c r="BN204" s="149"/>
      <c r="BO204" s="149"/>
      <c r="BP204" s="157"/>
      <c r="BQ204" s="160"/>
      <c r="BR204" s="150"/>
      <c r="BS204" s="150"/>
      <c r="BT204" s="176"/>
      <c r="BU204" s="168"/>
      <c r="BV204" s="149"/>
      <c r="BW204" s="149"/>
      <c r="BX204" s="157"/>
      <c r="BY204" s="160"/>
      <c r="BZ204" s="150"/>
      <c r="CA204" s="150"/>
      <c r="CB204" s="176"/>
      <c r="CC204" s="168"/>
      <c r="CD204" s="149"/>
      <c r="CE204" s="149"/>
      <c r="CF204" s="157"/>
      <c r="CG204" s="160"/>
      <c r="CH204" s="150"/>
      <c r="CI204" s="150"/>
      <c r="CJ204" s="176"/>
      <c r="CK204" s="168"/>
      <c r="CL204" s="149"/>
      <c r="CM204" s="149"/>
      <c r="CN204" s="157"/>
      <c r="CO204" s="160"/>
      <c r="CP204" s="150"/>
      <c r="CQ204" s="150"/>
      <c r="CR204" s="176"/>
      <c r="CS204" s="168"/>
      <c r="CT204" s="149"/>
      <c r="CU204" s="149"/>
      <c r="CV204" s="157"/>
      <c r="CW204" s="160"/>
      <c r="CX204" s="150"/>
      <c r="CY204" s="150"/>
      <c r="CZ204" s="176"/>
      <c r="DA204" s="168"/>
      <c r="DB204" s="149"/>
      <c r="DC204" s="149"/>
      <c r="DD204" s="157"/>
    </row>
    <row r="205" spans="2:108" x14ac:dyDescent="0.2">
      <c r="B205" s="183" t="s">
        <v>203</v>
      </c>
      <c r="C205" s="556">
        <v>3</v>
      </c>
      <c r="D205" s="168"/>
      <c r="E205" s="149"/>
      <c r="F205" s="149">
        <f>F202</f>
        <v>58800</v>
      </c>
      <c r="G205" s="149"/>
      <c r="H205" s="168">
        <f>SUM(I205:AB205)</f>
        <v>62353.675127649702</v>
      </c>
      <c r="I205" s="610">
        <f>-PV(InterestRate,I$8,,(SUM(AC205:AF205)))</f>
        <v>0</v>
      </c>
      <c r="J205" s="610">
        <f>-PV(InterestRate,J$8,,(SUM(AG205:AJ205)))</f>
        <v>0</v>
      </c>
      <c r="K205" s="610">
        <f>-PV(InterestRate,K$8,,(SUM(AK205:AN205)))</f>
        <v>0</v>
      </c>
      <c r="L205" s="610">
        <f>-PV(InterestRate,L$8,,(SUM(AO205:AR205)))</f>
        <v>62353.675127649702</v>
      </c>
      <c r="M205" s="610">
        <f>-PV(InterestRate,M$8,,(SUM(AS205:AV205)))</f>
        <v>0</v>
      </c>
      <c r="N205" s="610">
        <f>-PV(InterestRate,N$8,,(SUM(AW205:AZ205)))</f>
        <v>0</v>
      </c>
      <c r="O205" s="610">
        <f>-PV(InterestRate,O$8,,(SUM(BA205:BD205)))</f>
        <v>0</v>
      </c>
      <c r="P205" s="610">
        <f>-PV(InterestRate,P$8,,(SUM(BE205:BH205)))</f>
        <v>0</v>
      </c>
      <c r="Q205" s="610">
        <f>-PV(InterestRate,Q$8,,(SUM(BI205:BL205)))</f>
        <v>0</v>
      </c>
      <c r="R205" s="610">
        <f>-PV(InterestRate,R$8,,(SUM(BM205:BP205)))</f>
        <v>0</v>
      </c>
      <c r="S205" s="610">
        <f>-PV(InterestRate,S$8,,(SUM(BQ205:BT205)))</f>
        <v>0</v>
      </c>
      <c r="T205" s="610">
        <f>-PV(InterestRate,T$8,,(SUM(BU205:BX205)))</f>
        <v>0</v>
      </c>
      <c r="U205" s="610">
        <f>-PV(InterestRate,U$8,,(SUM(BY205:CB205)))</f>
        <v>0</v>
      </c>
      <c r="V205" s="610">
        <f>-PV(InterestRate,V$8,,(SUM(CC205:CF205)))</f>
        <v>0</v>
      </c>
      <c r="W205" s="610">
        <f>-PV(InterestRate,W$8,,(SUM(CG205:CJ205)))</f>
        <v>0</v>
      </c>
      <c r="X205" s="610">
        <f>-PV(InterestRate,X$8,,(SUM(CK205:CN205)))</f>
        <v>0</v>
      </c>
      <c r="Y205" s="610">
        <f>-PV(InterestRate,Y$8,,(SUM(CO205:CR205)))</f>
        <v>0</v>
      </c>
      <c r="Z205" s="610">
        <f>-PV(InterestRate,Z$8,,(SUM(CS205:CV205)))</f>
        <v>0</v>
      </c>
      <c r="AA205" s="610">
        <f>-PV(InterestRate,AA$8,,(SUM(CW205:CZ205)))</f>
        <v>0</v>
      </c>
      <c r="AB205" s="611">
        <f>-PV(InterestRate,AB$8,,(SUM(DA205:DD205)))</f>
        <v>0</v>
      </c>
      <c r="AC205" s="160">
        <f>IF($C205&gt;0,(IF($C205=$AC$7,$D205,0)),0)</f>
        <v>0</v>
      </c>
      <c r="AD205" s="150">
        <f>IF($C205&gt;0,(IF($AC$7&gt;=$C205+1,$E205,0)),0)</f>
        <v>0</v>
      </c>
      <c r="AE205" s="150">
        <f>IF($C205&gt;0,(IF($C205=$AC$7,$F205,0)),0)</f>
        <v>0</v>
      </c>
      <c r="AF205" s="165">
        <f>IF($C205&gt;0,(IF($AC$7&gt;=$C205+1,$G205,0)),0)</f>
        <v>0</v>
      </c>
      <c r="AG205" s="168">
        <f>IF($C205&gt;0,(IF($C205=$AG$7,(-FV(InflationRate,$AG$7,,$D205)),0)),0)</f>
        <v>0</v>
      </c>
      <c r="AH205" s="149">
        <f>IF($C205&gt;0,(IF($AG$7&gt;=$C205+1, (-FV(InflationRate,$AG$7,,$E205)), 0)),0)</f>
        <v>0</v>
      </c>
      <c r="AI205" s="149">
        <f>IF($C205&gt;0,(IF($AG$7&gt;=$C205+1, (-FV(InflationRate,$AG$7,,$F205)), 0)),0)</f>
        <v>0</v>
      </c>
      <c r="AJ205" s="171">
        <f>IF($C205&gt;0,(IF($AG$7&gt;=$C205+1, (-FV(InflationRate,$AG$7,,$G205)), 0)),0)</f>
        <v>0</v>
      </c>
      <c r="AK205" s="160">
        <f>IF($C205&gt;0,(IF($C205=$AK$7,(-FV(InflationRate,$AK$7,,$D205)),0)),0)</f>
        <v>0</v>
      </c>
      <c r="AL205" s="150">
        <f>IF($C205&gt;0,(IF($AK$7&gt;=$C205+1, (-FV(InflationRate,$AK$7,,$E205)), 0)),0)</f>
        <v>0</v>
      </c>
      <c r="AM205" s="150">
        <f>IF($C205&gt;0,(IF($AK$7&gt;=$C205+1, (-FV(InflationRate,$AK$7,,$F205)), 0)),0)</f>
        <v>0</v>
      </c>
      <c r="AN205" s="165">
        <f>IF($C205&gt;0,(IF($AK$7&gt;=$C205+1, (-FV(InflationRate,$AK$7,,$G205)), 0)),0)</f>
        <v>0</v>
      </c>
      <c r="AO205" s="168">
        <f>IF($C205&gt;0,(IF($C205=$AO$7,(-FV(InflationRate,$AO$7,,$D205)),0)),0)</f>
        <v>0</v>
      </c>
      <c r="AP205" s="149">
        <f>IF($C205&gt;0,(IF($AO$7&gt;=$C205+1, (-FV(InflationRate,$AO$7,,$E205)), 0)),0)</f>
        <v>0</v>
      </c>
      <c r="AQ205" s="149">
        <f>IF($C205&gt;0,(IF($AO$7&gt;=$C205+1, (-FV(InflationRate,$AO$7,,$F205)), 0)),0)</f>
        <v>66179.918028</v>
      </c>
      <c r="AR205" s="157">
        <f>IF($C205&gt;0,(IF($AO$7&gt;=$C205+1, (-FV(InflationRate,$AO$7,,$G205)), 0)),0)</f>
        <v>0</v>
      </c>
      <c r="AS205" s="160"/>
      <c r="AT205" s="150"/>
      <c r="AU205" s="150"/>
      <c r="AV205" s="165"/>
      <c r="AW205" s="168"/>
      <c r="AX205" s="149"/>
      <c r="AY205" s="149"/>
      <c r="AZ205" s="157"/>
      <c r="BA205" s="160"/>
      <c r="BB205" s="150"/>
      <c r="BC205" s="150"/>
      <c r="BD205" s="176"/>
      <c r="BE205" s="168"/>
      <c r="BF205" s="149"/>
      <c r="BG205" s="149"/>
      <c r="BH205" s="171"/>
      <c r="BI205" s="160"/>
      <c r="BJ205" s="150"/>
      <c r="BK205" s="150"/>
      <c r="BL205" s="176"/>
      <c r="BM205" s="168"/>
      <c r="BN205" s="149"/>
      <c r="BO205" s="149"/>
      <c r="BP205" s="157"/>
      <c r="BQ205" s="160"/>
      <c r="BR205" s="150"/>
      <c r="BS205" s="150"/>
      <c r="BT205" s="176"/>
      <c r="BU205" s="168"/>
      <c r="BV205" s="149"/>
      <c r="BW205" s="149"/>
      <c r="BX205" s="157"/>
      <c r="BY205" s="160"/>
      <c r="BZ205" s="150"/>
      <c r="CA205" s="150"/>
      <c r="CB205" s="176"/>
      <c r="CC205" s="168"/>
      <c r="CD205" s="149"/>
      <c r="CE205" s="149"/>
      <c r="CF205" s="157"/>
      <c r="CG205" s="160"/>
      <c r="CH205" s="150"/>
      <c r="CI205" s="150"/>
      <c r="CJ205" s="176"/>
      <c r="CK205" s="168"/>
      <c r="CL205" s="149"/>
      <c r="CM205" s="149"/>
      <c r="CN205" s="157"/>
      <c r="CO205" s="160"/>
      <c r="CP205" s="150"/>
      <c r="CQ205" s="150"/>
      <c r="CR205" s="176"/>
      <c r="CS205" s="168"/>
      <c r="CT205" s="149"/>
      <c r="CU205" s="149"/>
      <c r="CV205" s="157"/>
      <c r="CW205" s="160"/>
      <c r="CX205" s="150"/>
      <c r="CY205" s="150"/>
      <c r="CZ205" s="176"/>
      <c r="DA205" s="168"/>
      <c r="DB205" s="149"/>
      <c r="DC205" s="149"/>
      <c r="DD205" s="157"/>
    </row>
    <row r="206" spans="2:108" x14ac:dyDescent="0.2">
      <c r="B206" s="182"/>
      <c r="C206" s="189"/>
      <c r="D206" s="168"/>
      <c r="E206" s="149"/>
      <c r="F206" s="149"/>
      <c r="G206" s="149"/>
      <c r="H206" s="168"/>
      <c r="I206" s="600"/>
      <c r="J206" s="600"/>
      <c r="K206" s="600"/>
      <c r="L206" s="600"/>
      <c r="M206" s="600"/>
      <c r="N206" s="600"/>
      <c r="O206" s="600"/>
      <c r="P206" s="600"/>
      <c r="Q206" s="600"/>
      <c r="R206" s="600"/>
      <c r="S206" s="600"/>
      <c r="T206" s="600"/>
      <c r="U206" s="600"/>
      <c r="V206" s="600"/>
      <c r="W206" s="600"/>
      <c r="X206" s="600"/>
      <c r="Y206" s="600"/>
      <c r="Z206" s="600"/>
      <c r="AA206" s="600"/>
      <c r="AB206" s="601"/>
      <c r="AC206" s="160"/>
      <c r="AD206" s="150"/>
      <c r="AE206" s="150"/>
      <c r="AF206" s="165"/>
      <c r="AG206" s="168"/>
      <c r="AH206" s="149"/>
      <c r="AI206" s="149"/>
      <c r="AJ206" s="171"/>
      <c r="AK206" s="160"/>
      <c r="AL206" s="150"/>
      <c r="AM206" s="150"/>
      <c r="AN206" s="165"/>
      <c r="AO206" s="168"/>
      <c r="AP206" s="149"/>
      <c r="AQ206" s="149"/>
      <c r="AR206" s="157"/>
      <c r="AS206" s="160"/>
      <c r="AT206" s="150"/>
      <c r="AU206" s="150"/>
      <c r="AV206" s="165"/>
      <c r="AW206" s="168"/>
      <c r="AX206" s="149"/>
      <c r="AY206" s="149"/>
      <c r="AZ206" s="157"/>
      <c r="BA206" s="160"/>
      <c r="BB206" s="150"/>
      <c r="BC206" s="150"/>
      <c r="BD206" s="176"/>
      <c r="BE206" s="168"/>
      <c r="BF206" s="149"/>
      <c r="BG206" s="149"/>
      <c r="BH206" s="171"/>
      <c r="BI206" s="160"/>
      <c r="BJ206" s="150"/>
      <c r="BK206" s="150"/>
      <c r="BL206" s="176"/>
      <c r="BM206" s="168"/>
      <c r="BN206" s="149"/>
      <c r="BO206" s="149"/>
      <c r="BP206" s="157"/>
      <c r="BQ206" s="160"/>
      <c r="BR206" s="150"/>
      <c r="BS206" s="150"/>
      <c r="BT206" s="176"/>
      <c r="BU206" s="168"/>
      <c r="BV206" s="149"/>
      <c r="BW206" s="149"/>
      <c r="BX206" s="157"/>
      <c r="BY206" s="160"/>
      <c r="BZ206" s="150"/>
      <c r="CA206" s="150"/>
      <c r="CB206" s="176"/>
      <c r="CC206" s="168"/>
      <c r="CD206" s="149"/>
      <c r="CE206" s="149"/>
      <c r="CF206" s="157"/>
      <c r="CG206" s="160"/>
      <c r="CH206" s="150"/>
      <c r="CI206" s="150"/>
      <c r="CJ206" s="176"/>
      <c r="CK206" s="168"/>
      <c r="CL206" s="149"/>
      <c r="CM206" s="149"/>
      <c r="CN206" s="157"/>
      <c r="CO206" s="160"/>
      <c r="CP206" s="150"/>
      <c r="CQ206" s="150"/>
      <c r="CR206" s="176"/>
      <c r="CS206" s="168"/>
      <c r="CT206" s="149"/>
      <c r="CU206" s="149"/>
      <c r="CV206" s="157"/>
      <c r="CW206" s="160"/>
      <c r="CX206" s="150"/>
      <c r="CY206" s="150"/>
      <c r="CZ206" s="176"/>
      <c r="DA206" s="168"/>
      <c r="DB206" s="149"/>
      <c r="DC206" s="149"/>
      <c r="DD206" s="157"/>
    </row>
    <row r="207" spans="2:108" x14ac:dyDescent="0.2">
      <c r="B207" s="182" t="str">
        <f>'PRB - S1'!B5</f>
        <v>Permeable Reactive Barriers - Site 1</v>
      </c>
      <c r="C207" s="189"/>
      <c r="D207" s="194">
        <f>'PRB - S1'!F34</f>
        <v>612800</v>
      </c>
      <c r="E207" s="195">
        <f>'PRB - S1'!F63</f>
        <v>0</v>
      </c>
      <c r="F207" s="195">
        <f>'PRB - S1'!F94</f>
        <v>16100</v>
      </c>
      <c r="G207" s="195">
        <f>'PRB - S1'!F123</f>
        <v>107700</v>
      </c>
      <c r="H207" s="168"/>
      <c r="I207" s="600"/>
      <c r="J207" s="600"/>
      <c r="K207" s="600"/>
      <c r="L207" s="600"/>
      <c r="M207" s="600"/>
      <c r="N207" s="600"/>
      <c r="O207" s="600"/>
      <c r="P207" s="600"/>
      <c r="Q207" s="600"/>
      <c r="R207" s="600"/>
      <c r="S207" s="600"/>
      <c r="T207" s="600"/>
      <c r="U207" s="600"/>
      <c r="V207" s="600"/>
      <c r="W207" s="600"/>
      <c r="X207" s="600"/>
      <c r="Y207" s="600"/>
      <c r="Z207" s="600"/>
      <c r="AA207" s="600"/>
      <c r="AB207" s="601"/>
      <c r="AC207" s="160"/>
      <c r="AD207" s="150"/>
      <c r="AE207" s="150"/>
      <c r="AF207" s="165"/>
      <c r="AG207" s="168"/>
      <c r="AH207" s="149"/>
      <c r="AI207" s="149"/>
      <c r="AJ207" s="171"/>
      <c r="AK207" s="160"/>
      <c r="AL207" s="150"/>
      <c r="AM207" s="150"/>
      <c r="AN207" s="165"/>
      <c r="AO207" s="168"/>
      <c r="AP207" s="149"/>
      <c r="AQ207" s="149"/>
      <c r="AR207" s="157"/>
      <c r="AS207" s="160"/>
      <c r="AT207" s="150"/>
      <c r="AU207" s="150"/>
      <c r="AV207" s="165"/>
      <c r="AW207" s="168"/>
      <c r="AX207" s="149"/>
      <c r="AY207" s="149"/>
      <c r="AZ207" s="157"/>
      <c r="BA207" s="160"/>
      <c r="BB207" s="150"/>
      <c r="BC207" s="150"/>
      <c r="BD207" s="176"/>
      <c r="BE207" s="168"/>
      <c r="BF207" s="149"/>
      <c r="BG207" s="149"/>
      <c r="BH207" s="171"/>
      <c r="BI207" s="160"/>
      <c r="BJ207" s="150"/>
      <c r="BK207" s="150"/>
      <c r="BL207" s="176"/>
      <c r="BM207" s="168"/>
      <c r="BN207" s="149"/>
      <c r="BO207" s="149"/>
      <c r="BP207" s="157"/>
      <c r="BQ207" s="160"/>
      <c r="BR207" s="150"/>
      <c r="BS207" s="150"/>
      <c r="BT207" s="176"/>
      <c r="BU207" s="168"/>
      <c r="BV207" s="149"/>
      <c r="BW207" s="149"/>
      <c r="BX207" s="157"/>
      <c r="BY207" s="160"/>
      <c r="BZ207" s="150"/>
      <c r="CA207" s="150"/>
      <c r="CB207" s="176"/>
      <c r="CC207" s="168"/>
      <c r="CD207" s="149"/>
      <c r="CE207" s="149"/>
      <c r="CF207" s="157"/>
      <c r="CG207" s="160"/>
      <c r="CH207" s="150"/>
      <c r="CI207" s="150"/>
      <c r="CJ207" s="176"/>
      <c r="CK207" s="168"/>
      <c r="CL207" s="149"/>
      <c r="CM207" s="149"/>
      <c r="CN207" s="157"/>
      <c r="CO207" s="160"/>
      <c r="CP207" s="150"/>
      <c r="CQ207" s="150"/>
      <c r="CR207" s="176"/>
      <c r="CS207" s="168"/>
      <c r="CT207" s="149"/>
      <c r="CU207" s="149"/>
      <c r="CV207" s="157"/>
      <c r="CW207" s="160"/>
      <c r="CX207" s="150"/>
      <c r="CY207" s="150"/>
      <c r="CZ207" s="176"/>
      <c r="DA207" s="168"/>
      <c r="DB207" s="149"/>
      <c r="DC207" s="149"/>
      <c r="DD207" s="157"/>
    </row>
    <row r="208" spans="2:108" x14ac:dyDescent="0.2">
      <c r="B208" s="183" t="s">
        <v>220</v>
      </c>
      <c r="C208" s="556">
        <v>5</v>
      </c>
      <c r="D208" s="168">
        <f>'PRB - S1'!F31+'PRB - S1'!F32</f>
        <v>68100</v>
      </c>
      <c r="E208" s="149"/>
      <c r="F208" s="149"/>
      <c r="G208" s="149"/>
      <c r="H208" s="168">
        <f>SUM(I208:AB208)</f>
        <v>73282.963615139117</v>
      </c>
      <c r="I208" s="610">
        <f>-PV(InterestRate,I$8,,(SUM(AC208:AF208)))</f>
        <v>0</v>
      </c>
      <c r="J208" s="610">
        <f>-PV(InterestRate,J$8,,(SUM(AG208:AJ208)))</f>
        <v>0</v>
      </c>
      <c r="K208" s="610">
        <f>-PV(InterestRate,K$8,,(SUM(AK208:AN208)))</f>
        <v>0</v>
      </c>
      <c r="L208" s="610">
        <f>-PV(InterestRate,L$8,,(SUM(AO208:AR208)))</f>
        <v>0</v>
      </c>
      <c r="M208" s="610">
        <f>-PV(InterestRate,M$8,,(SUM(AS208:AV208)))</f>
        <v>73282.963615139117</v>
      </c>
      <c r="N208" s="610">
        <f>-PV(InterestRate,N$8,,(SUM(AW208:AZ208)))</f>
        <v>0</v>
      </c>
      <c r="O208" s="610">
        <f>-PV(InterestRate,O$8,,(SUM(BA208:BD208)))</f>
        <v>0</v>
      </c>
      <c r="P208" s="610">
        <f>-PV(InterestRate,P$8,,(SUM(BE208:BH208)))</f>
        <v>0</v>
      </c>
      <c r="Q208" s="610">
        <f>-PV(InterestRate,Q$8,,(SUM(BI208:BL208)))</f>
        <v>0</v>
      </c>
      <c r="R208" s="610">
        <f>-PV(InterestRate,R$8,,(SUM(BM208:BP208)))</f>
        <v>0</v>
      </c>
      <c r="S208" s="610">
        <f>-PV(InterestRate,S$8,,(SUM(BQ208:BT208)))</f>
        <v>0</v>
      </c>
      <c r="T208" s="610">
        <f>-PV(InterestRate,T$8,,(SUM(BU208:BX208)))</f>
        <v>0</v>
      </c>
      <c r="U208" s="610">
        <f>-PV(InterestRate,U$8,,(SUM(BY208:CB208)))</f>
        <v>0</v>
      </c>
      <c r="V208" s="610">
        <f>-PV(InterestRate,V$8,,(SUM(CC208:CF208)))</f>
        <v>0</v>
      </c>
      <c r="W208" s="610">
        <f>-PV(InterestRate,W$8,,(SUM(CG208:CJ208)))</f>
        <v>0</v>
      </c>
      <c r="X208" s="610">
        <f>-PV(InterestRate,X$8,,(SUM(CK208:CN208)))</f>
        <v>0</v>
      </c>
      <c r="Y208" s="610">
        <f>-PV(InterestRate,Y$8,,(SUM(CO208:CR208)))</f>
        <v>0</v>
      </c>
      <c r="Z208" s="610">
        <f>-PV(InterestRate,Z$8,,(SUM(CS208:CV208)))</f>
        <v>0</v>
      </c>
      <c r="AA208" s="610">
        <f>-PV(InterestRate,AA$8,,(SUM(CW208:CZ208)))</f>
        <v>0</v>
      </c>
      <c r="AB208" s="611">
        <f>-PV(InterestRate,AB$8,,(SUM(DA208:DD208)))</f>
        <v>0</v>
      </c>
      <c r="AC208" s="160"/>
      <c r="AD208" s="150"/>
      <c r="AE208" s="150"/>
      <c r="AF208" s="165"/>
      <c r="AG208" s="168"/>
      <c r="AH208" s="149"/>
      <c r="AI208" s="149"/>
      <c r="AJ208" s="171"/>
      <c r="AK208" s="160"/>
      <c r="AL208" s="150"/>
      <c r="AM208" s="150"/>
      <c r="AN208" s="165"/>
      <c r="AO208" s="168">
        <f>IF($C208&gt;0,(IF($C208=$AO$7,(-FV(InflationRate,$AO$7,,$D208)),0)),0)</f>
        <v>0</v>
      </c>
      <c r="AP208" s="149">
        <f>IF($C208&gt;0,(IF($AO$7&gt;=$C208+1, (-FV(InflationRate,$AO$7,,$E208)), 0)),0)</f>
        <v>0</v>
      </c>
      <c r="AQ208" s="149">
        <f>IF($C208&gt;0,(IF($AO$7&gt;=$C208+1, (-FV(InflationRate,$AO$7,,$F208)), 0)),0)</f>
        <v>0</v>
      </c>
      <c r="AR208" s="157">
        <f>IF($C208&gt;0,(IF($AO$7&gt;=$C208+1, (-FV(InflationRate,$AO$7,,$G208)), 0)),0)</f>
        <v>0</v>
      </c>
      <c r="AS208" s="160">
        <f>IF($C208&gt;0,(IF($C208=$AS$7,(-FV(InflationRate,$AS$7,,$D208)),0)),0)</f>
        <v>78946.564459829984</v>
      </c>
      <c r="AT208" s="150">
        <f>IF($C208&gt;0,(IF($AS$7&gt;=$C208+1, (-FV(InflationRate,$AS$7,,$E208)), 0)),0)</f>
        <v>0</v>
      </c>
      <c r="AU208" s="150">
        <f>IF($C208&gt;0,(IF($AS$7&gt;=$C208+1, (-FV(InflationRate,$AS$7,,$F208)), 0)),0)</f>
        <v>0</v>
      </c>
      <c r="AV208" s="165">
        <f>IF($C208&gt;0,(IF($AS$7&gt;=$C208+1, (-FV(InflationRate,$AS$7,,$G208)), 0)),0)</f>
        <v>0</v>
      </c>
      <c r="AW208" s="168">
        <f>IF($C208&gt;0,(IF($C208=$AW$7,(-FV(InflationRate,$AW$7,,$D208)),0)),0)</f>
        <v>0</v>
      </c>
      <c r="AX208" s="149">
        <f>IF($C208&gt;0,(IF($AW$7&gt;=$C208+1, (-FV(InflationRate,$AW$7,,$E208)), 0)),0)</f>
        <v>0</v>
      </c>
      <c r="AY208" s="149">
        <f>IF($C208&gt;0,(IF($AW$7&gt;=$C208+1, (-FV(InflationRate,$AW$7,,$F208)), 0)),0)</f>
        <v>0</v>
      </c>
      <c r="AZ208" s="157">
        <f>IF($C208&gt;0,(IF($AW$7&gt;=$C208+1, (-FV(InflationRate,$AW$7,,$G208)), 0)),0)</f>
        <v>0</v>
      </c>
      <c r="BA208" s="160">
        <f>IF($C208&gt;0,(IF($C208=$BA$7,(-FV(InflationRate,$BA$7,,$D208)),0)),0)</f>
        <v>0</v>
      </c>
      <c r="BB208" s="150">
        <f>IF($C208&gt;0,(IF($BA$7&gt;=$C208+1, (-FV(InflationRate,$BA$7,,$E208)), 0)),0)</f>
        <v>0</v>
      </c>
      <c r="BC208" s="150">
        <f>IF($C208&gt;0,(IF($BA$7&gt;=$C208+1, (-FV(InflationRate,$BA$7,,$F208)), 0)),0)</f>
        <v>0</v>
      </c>
      <c r="BD208" s="176">
        <f>IF($C208&gt;0,(IF($BA$7&gt;=$C208+1, (-FV(InflationRate,$BA$7,,$G208)), 0)),0)</f>
        <v>0</v>
      </c>
      <c r="BE208" s="168">
        <f>IF($C208&gt;0,(IF($C208=$BE$7,(-FV(InflationRate,$BE$7,,$D208)),0)),0)</f>
        <v>0</v>
      </c>
      <c r="BF208" s="149">
        <f>IF($C208&gt;0,(IF($BE$7&gt;=$C208+1, (-FV(InflationRate,$BE$7,,$E208)), 0)),0)</f>
        <v>0</v>
      </c>
      <c r="BG208" s="149">
        <f>IF($C208&gt;0,(IF($BE$7&gt;=$C208+1, (-FV(InflationRate,$BE$7,,$F208)), 0)),0)</f>
        <v>0</v>
      </c>
      <c r="BH208" s="171">
        <f>IF($C208&gt;0,(IF($BE$7&gt;=$C208+1, (-FV(InflationRate,$BE$7,,$G208)), 0)),0)</f>
        <v>0</v>
      </c>
      <c r="BI208" s="160">
        <f>IF($C208&gt;0,(IF($C208=$BI$7,(-FV(InflationRate,$BI$7,,$D208)),0)),0)</f>
        <v>0</v>
      </c>
      <c r="BJ208" s="150">
        <f>IF($C208&gt;0,(IF($BI$7&gt;=$C208+1, (-FV(InflationRate,$BI$7,,$E208)), 0)),0)</f>
        <v>0</v>
      </c>
      <c r="BK208" s="150">
        <f>IF($C208&gt;0,(IF($BI$7&gt;=$C208+1, (-FV(InflationRate,$BI$7,,$F208)), 0)),0)</f>
        <v>0</v>
      </c>
      <c r="BL208" s="176">
        <f>IF($C208&gt;0,(IF($BI$7&gt;=$C208+1, (-FV(InflationRate,$BI$7,,$G208)), 0)),0)</f>
        <v>0</v>
      </c>
      <c r="BM208" s="168">
        <f>IF($C208&gt;0,(IF($C208=$BM$7,(-FV(InflationRate,$BM$7,,$D208)),0)),0)</f>
        <v>0</v>
      </c>
      <c r="BN208" s="149">
        <f>IF($C208&gt;0,(IF($BM$7&gt;=$C208+1, (-FV(InflationRate,$BM$7,,$E208)), 0)),0)</f>
        <v>0</v>
      </c>
      <c r="BO208" s="149">
        <f>IF($C208&gt;0,(IF($BM$7&gt;=$C208+1, (-FV(InflationRate,$BM$7,,$F208)), 0)),0)</f>
        <v>0</v>
      </c>
      <c r="BP208" s="157">
        <f>IF($C208&gt;0,(IF($BM$7&gt;=$C208+1, (-FV(InflationRate,$BM$7,,$G208)), 0)),0)</f>
        <v>0</v>
      </c>
      <c r="BQ208" s="160">
        <f>IF($C208&gt;0,(IF($C208=$BQ$7,(-FV(InflationRate,$BQ$7,,$D208)),0)),0)</f>
        <v>0</v>
      </c>
      <c r="BR208" s="150">
        <f>IF($C208&gt;0,(IF($BQ$7&gt;=$C208+1, (-FV(InflationRate,$BQ$7,,$E208)), 0)),0)</f>
        <v>0</v>
      </c>
      <c r="BS208" s="150">
        <f>IF($C208&gt;0,(IF($BQ$7&gt;=$C208+1, (-FV(InflationRate,$BQ$7,,$F208)), 0)),0)</f>
        <v>0</v>
      </c>
      <c r="BT208" s="176">
        <f>IF($C208&gt;0,(IF($BQ$7&gt;=$C208+1, (-FV(InflationRate,$BQ$7,,$G208)), 0)),0)</f>
        <v>0</v>
      </c>
      <c r="BU208" s="168">
        <f>IF($C208&gt;0,(IF($C208=$BU$7,(-FV(InflationRate,$BU$7,,$D208)),0)),0)</f>
        <v>0</v>
      </c>
      <c r="BV208" s="149">
        <f>IF($C208&gt;0,(IF($BU$7&gt;=$C208+1, (-FV(InflationRate,$BU$7,,$E208)), 0)),0)</f>
        <v>0</v>
      </c>
      <c r="BW208" s="149">
        <f>IF($C208&gt;0,(IF($BU$7&gt;=$C208+1, (-FV(InflationRate,$BU$7,,$F208)), 0)),0)</f>
        <v>0</v>
      </c>
      <c r="BX208" s="157">
        <f>IF($C208&gt;0,(IF($BU$7&gt;=$C208+1, (-FV(InflationRate,$BU$7,,$G208)), 0)),0)</f>
        <v>0</v>
      </c>
      <c r="BY208" s="160">
        <f>IF($C208&gt;0,(IF($C208=$BY$7,(-FV(InflationRate,$BY$7,,$D208)),0)),0)</f>
        <v>0</v>
      </c>
      <c r="BZ208" s="150">
        <f>IF($C208&gt;0,(IF($BY$7&gt;=$C208+1, (-FV(InflationRate,$BY$7,,$E208)), 0)),0)</f>
        <v>0</v>
      </c>
      <c r="CA208" s="150">
        <f>IF($C208&gt;0,(IF($BY$7&gt;=$C208+1, (-FV(InflationRate,$BY$7,,$F208)), 0)),0)</f>
        <v>0</v>
      </c>
      <c r="CB208" s="176">
        <f>IF($C208&gt;0,(IF($BY$7&gt;=$C208+1, (-FV(InflationRate,$BY$7,,$G208)), 0)),0)</f>
        <v>0</v>
      </c>
      <c r="CC208" s="168">
        <f>IF($C208&gt;0,(IF($C208=$CC$7,(-FV(InflationRate,$CC$7,,$D208)),0)),0)</f>
        <v>0</v>
      </c>
      <c r="CD208" s="149">
        <f>IF($C208&gt;0,(IF($CC$7&gt;=$C208+1, (-FV(InflationRate,$CC$7,,$E208)), 0)),0)</f>
        <v>0</v>
      </c>
      <c r="CE208" s="149">
        <f>IF($C208&gt;0,(IF($CC$7&gt;=$C208+1, (-FV(InflationRate,$CC$7,,$F208)), 0)),0)</f>
        <v>0</v>
      </c>
      <c r="CF208" s="157">
        <f>IF($C208&gt;0,(IF($CC$7&gt;=$C208+1, (-FV(InflationRate,$CC$7,,$G208)), 0)),0)</f>
        <v>0</v>
      </c>
      <c r="CG208" s="160">
        <f>IF($C208&gt;0,(IF($C208=$CG$7,(-FV(InflationRate,$CG$7,,$D208)),0)),0)</f>
        <v>0</v>
      </c>
      <c r="CH208" s="150">
        <f>IF($C208&gt;0,(IF($CG$7&gt;=$C208+1, (-FV(InflationRate,$CG$7,,$E208)), 0)),0)</f>
        <v>0</v>
      </c>
      <c r="CI208" s="150">
        <f>IF($C208&gt;0,(IF($CG$7&gt;=$C208+1, (-FV(InflationRate,$CG$7,,$F208)), 0)),0)</f>
        <v>0</v>
      </c>
      <c r="CJ208" s="176">
        <f>IF($C208&gt;0,(IF($CG$7&gt;=$C208+1, (-FV(InflationRate,$CG$7,,$G208)), 0)),0)</f>
        <v>0</v>
      </c>
      <c r="CK208" s="168">
        <f>IF($C208&gt;0,(IF($C208=$CK$7,(-FV(InflationRate,$CK$7,,$D208)),0)),0)</f>
        <v>0</v>
      </c>
      <c r="CL208" s="149">
        <f>IF($C208&gt;0,(IF($CK$7&gt;=$C208+1, (-FV(InflationRate,$CK$7,,$E208)), 0)),0)</f>
        <v>0</v>
      </c>
      <c r="CM208" s="149">
        <f>IF($C208&gt;0,(IF($CK$7&gt;=$C208+1, (-FV(InflationRate,$CK$7,,$F208)), 0)),0)</f>
        <v>0</v>
      </c>
      <c r="CN208" s="157">
        <f>IF($C208&gt;0,(IF($CK$7&gt;=$C208+1, (-FV(InflationRate,$CK$7,,$G208)), 0)),0)</f>
        <v>0</v>
      </c>
      <c r="CO208" s="160">
        <f>IF($C208&gt;0,(IF($C208=$CO$7,(-FV(InflationRate,$CO$7,,$D208)),0)),0)</f>
        <v>0</v>
      </c>
      <c r="CP208" s="150">
        <f>IF($C208&gt;0,(IF($CO$7&gt;=$C208+1, (-FV(InflationRate,$CO$7,,$E208)), 0)),0)</f>
        <v>0</v>
      </c>
      <c r="CQ208" s="150">
        <f>IF($C208&gt;0,(IF($CO$7&gt;=$C208+1, (-FV(InflationRate,$CO$7,,$F208)), 0)),0)</f>
        <v>0</v>
      </c>
      <c r="CR208" s="176">
        <f>IF($C208&gt;0,(IF($CO$7&gt;=$C208+1, (-FV(InflationRate,$CO$7,,$G208)), 0)),0)</f>
        <v>0</v>
      </c>
      <c r="CS208" s="168">
        <f>IF($C208&gt;0,(IF($C208=$CS$7,(-FV(InflationRate,$CS$7,,$D208)),0)),0)</f>
        <v>0</v>
      </c>
      <c r="CT208" s="149">
        <f>IF($C208&gt;0,(IF($CS$7&gt;=$C208+1, (-FV(InflationRate,$CS$7,,$E208)), 0)),0)</f>
        <v>0</v>
      </c>
      <c r="CU208" s="149">
        <f>IF($C208&gt;0,(IF($CS$7&gt;=$C208+1, (-FV(InflationRate,$CS$7,,$F208)), 0)),0)</f>
        <v>0</v>
      </c>
      <c r="CV208" s="157">
        <f>IF($C208&gt;0,(IF($CS$7&gt;=$C208+1, (-FV(InflationRate,$CS$7,,$G208)), 0)),0)</f>
        <v>0</v>
      </c>
      <c r="CW208" s="160">
        <f>IF($C208&gt;0,(IF($C208=$CW$7,(-FV(InflationRate,$CW$7,,$D208)),0)),0)</f>
        <v>0</v>
      </c>
      <c r="CX208" s="150">
        <f>IF($C208&gt;0,(IF($CW$7&gt;=$C208+1, (-FV(InflationRate,$CW$7,,$E208)), 0)),0)</f>
        <v>0</v>
      </c>
      <c r="CY208" s="150">
        <f>IF($C208&gt;0,(IF($CW$7&gt;=$C208+1, (-FV(InflationRate,$CW$7,,$F208)), 0)),0)</f>
        <v>0</v>
      </c>
      <c r="CZ208" s="176">
        <f>IF($C208&gt;0,(IF($CW$7&gt;=$C208+1, (-FV(InflationRate,$CW$7,,$G208)), 0)),0)</f>
        <v>0</v>
      </c>
      <c r="DA208" s="168">
        <f>IF($C208&gt;0,(IF($C208=$DA$7,(-FV(InflationRate,$DA$7,,$D208)),0)),0)</f>
        <v>0</v>
      </c>
      <c r="DB208" s="149">
        <f>IF($C208&gt;0,(IF($DA$7&gt;=$C208+1, (-FV(InflationRate,$DA$7,,$E208)), 0)),0)</f>
        <v>0</v>
      </c>
      <c r="DC208" s="149">
        <f>IF($C208&gt;0,(IF($DA$7&gt;=$C208+1, (-FV(InflationRate,$DA$7,,$F208)), 0)),0)</f>
        <v>0</v>
      </c>
      <c r="DD208" s="157">
        <f>IF($C208&gt;0,(IF($DA$7&gt;=$C208+1, (-FV(InflationRate,$DA$7,,$G208)), 0)),0)</f>
        <v>0</v>
      </c>
    </row>
    <row r="209" spans="2:108" x14ac:dyDescent="0.2">
      <c r="B209" s="183" t="s">
        <v>270</v>
      </c>
      <c r="C209" s="556">
        <v>6</v>
      </c>
      <c r="D209" s="168">
        <f>D207-D208</f>
        <v>544700</v>
      </c>
      <c r="E209" s="149">
        <f>E207</f>
        <v>0</v>
      </c>
      <c r="F209" s="149"/>
      <c r="G209" s="149">
        <f>G207</f>
        <v>107700</v>
      </c>
      <c r="H209" s="168">
        <f>SUM(I209:AB209)</f>
        <v>2436073.1209009127</v>
      </c>
      <c r="I209" s="610">
        <f>-PV(InterestRate,I$8,,(SUM(AC209:AF209)))</f>
        <v>0</v>
      </c>
      <c r="J209" s="610">
        <f>-PV(InterestRate,J$8,,(SUM(AG209:AJ209)))</f>
        <v>0</v>
      </c>
      <c r="K209" s="610">
        <f>-PV(InterestRate,K$8,,(SUM(AK209:AN209)))</f>
        <v>0</v>
      </c>
      <c r="L209" s="610">
        <f>-PV(InterestRate,L$8,,(SUM(AO209:AR209)))</f>
        <v>0</v>
      </c>
      <c r="M209" s="610">
        <f>-PV(InterestRate,M$8,,(SUM(AS209:AV209)))</f>
        <v>0</v>
      </c>
      <c r="N209" s="610">
        <f>-PV(InterestRate,N$8,,(SUM(AW209:AZ209)))</f>
        <v>594818.50349892979</v>
      </c>
      <c r="O209" s="610">
        <f>-PV(InterestRate,O$8,,(SUM(BA209:BD209)))</f>
        <v>119347.67981225225</v>
      </c>
      <c r="P209" s="610">
        <f>-PV(InterestRate,P$8,,(SUM(BE209:BH209)))</f>
        <v>121111.43862721162</v>
      </c>
      <c r="Q209" s="610">
        <f>-PV(InterestRate,Q$8,,(SUM(BI209:BL209)))</f>
        <v>122901.26284337734</v>
      </c>
      <c r="R209" s="610">
        <f>-PV(InterestRate,R$8,,(SUM(BM209:BP209)))</f>
        <v>124717.53766372282</v>
      </c>
      <c r="S209" s="610">
        <f>-PV(InterestRate,S$8,,(SUM(BQ209:BT209)))</f>
        <v>126560.65398387637</v>
      </c>
      <c r="T209" s="610">
        <f>-PV(InterestRate,T$8,,(SUM(BU209:BX209)))</f>
        <v>128431.00847624894</v>
      </c>
      <c r="U209" s="610">
        <f>-PV(InterestRate,U$8,,(SUM(BY209:CB209)))</f>
        <v>130329.00367540534</v>
      </c>
      <c r="V209" s="610">
        <f>-PV(InterestRate,V$8,,(SUM(CC209:CF209)))</f>
        <v>132255.0480646971</v>
      </c>
      <c r="W209" s="610">
        <f>-PV(InterestRate,W$8,,(SUM(CG209:CJ209)))</f>
        <v>134209.55616417539</v>
      </c>
      <c r="X209" s="610">
        <f>-PV(InterestRate,X$8,,(SUM(CK209:CN209)))</f>
        <v>136192.94861980359</v>
      </c>
      <c r="Y209" s="610">
        <f>-PV(InterestRate,Y$8,,(SUM(CO209:CR209)))</f>
        <v>138205.65229398789</v>
      </c>
      <c r="Z209" s="610">
        <f>-PV(InterestRate,Z$8,,(SUM(CS209:CV209)))</f>
        <v>140248.10035744586</v>
      </c>
      <c r="AA209" s="610">
        <f>-PV(InterestRate,AA$8,,(SUM(CW209:CZ209)))</f>
        <v>142320.73238243276</v>
      </c>
      <c r="AB209" s="611">
        <f>-PV(InterestRate,AB$8,,(SUM(DA209:DD209)))</f>
        <v>144423.99443734559</v>
      </c>
      <c r="AC209" s="160"/>
      <c r="AD209" s="150"/>
      <c r="AE209" s="150"/>
      <c r="AF209" s="165"/>
      <c r="AG209" s="168"/>
      <c r="AH209" s="149"/>
      <c r="AI209" s="149"/>
      <c r="AJ209" s="171"/>
      <c r="AK209" s="160"/>
      <c r="AL209" s="150"/>
      <c r="AM209" s="150"/>
      <c r="AN209" s="165"/>
      <c r="AO209" s="168">
        <f>IF($C209&gt;0,(IF($C209=$AO$7,(-FV(InflationRate,$AO$7,,$D209)),0)),0)</f>
        <v>0</v>
      </c>
      <c r="AP209" s="149">
        <f>IF($C209&gt;0,(IF($AO$7&gt;=$C209+1, (-FV(InflationRate,$AO$7,,$E209)), 0)),0)</f>
        <v>0</v>
      </c>
      <c r="AQ209" s="149">
        <f>IF($C209&gt;0,(IF($AO$7&gt;=$C209+1, (-FV(InflationRate,$AO$7,,$F209)), 0)),0)</f>
        <v>0</v>
      </c>
      <c r="AR209" s="157">
        <f>IF($C209&gt;0,(IF($AO$7&gt;=$C209+1, (-FV(InflationRate,$AO$7,,$G209)), 0)),0)</f>
        <v>0</v>
      </c>
      <c r="AS209" s="160">
        <f>IF($C209&gt;0,(IF($C209=$AS$7,(-FV(InflationRate,$AS$7,,$D209)),0)),0)</f>
        <v>0</v>
      </c>
      <c r="AT209" s="150">
        <f>IF($C209&gt;0,(IF($AS$7&gt;=$C209+1, (-FV(InflationRate,$AS$7,,$E209)), 0)),0)</f>
        <v>0</v>
      </c>
      <c r="AU209" s="150">
        <f>IF($C209&gt;0,(IF($AS$7&gt;=$C209+1, (-FV(InflationRate,$AS$7,,$F209)), 0)),0)</f>
        <v>0</v>
      </c>
      <c r="AV209" s="165">
        <f>IF($C209&gt;0,(IF($AS$7&gt;=$C209+1, (-FV(InflationRate,$AS$7,,$G209)), 0)),0)</f>
        <v>0</v>
      </c>
      <c r="AW209" s="168">
        <f>IF($C209&gt;0,(IF($C209=$AW$7,(-FV(InflationRate,$AW$7,,$D209)),0)),0)</f>
        <v>650400.28591934626</v>
      </c>
      <c r="AX209" s="149">
        <f>IF($C209&gt;0,(IF($AW$7&gt;=$C209+1, (-FV(InflationRate,$AW$7,,$E209)), 0)),0)</f>
        <v>0</v>
      </c>
      <c r="AY209" s="149">
        <f>IF($C209&gt;0,(IF($AW$7&gt;=$C209+1, (-FV(InflationRate,$AW$7,,$F209)), 0)),0)</f>
        <v>0</v>
      </c>
      <c r="AZ209" s="157">
        <f>IF($C209&gt;0,(IF($AW$7&gt;=$C209+1, (-FV(InflationRate,$AW$7,,$G209)), 0)),0)</f>
        <v>0</v>
      </c>
      <c r="BA209" s="160">
        <f>IF($C209&gt;0,(IF($C209=$BA$7,(-FV(InflationRate,$BA$7,,$D209)),0)),0)</f>
        <v>0</v>
      </c>
      <c r="BB209" s="150">
        <f>IF($C209&gt;0,(IF($BA$7&gt;=$C209+1, (-FV(InflationRate,$BA$7,,$E209)), 0)),0)</f>
        <v>0</v>
      </c>
      <c r="BC209" s="150">
        <f>IF($C209&gt;0,(IF($BA$7&gt;=$C209+1, (-FV(InflationRate,$BA$7,,$F209)), 0)),0)</f>
        <v>0</v>
      </c>
      <c r="BD209" s="176">
        <f>IF($C209&gt;0,(IF($BA$7&gt;=$C209+1, (-FV(InflationRate,$BA$7,,$G209)), 0)),0)</f>
        <v>132457.41530625851</v>
      </c>
      <c r="BE209" s="168">
        <f>IF($C209&gt;0,(IF($C209=$BE$7,(-FV(InflationRate,$BE$7,,$D209)),0)),0)</f>
        <v>0</v>
      </c>
      <c r="BF209" s="149">
        <f>IF($C209&gt;0,(IF($BE$7&gt;=$C209+1, (-FV(InflationRate,$BE$7,,$E209)), 0)),0)</f>
        <v>0</v>
      </c>
      <c r="BG209" s="149">
        <f>IF($C209&gt;0,(IF($BE$7&gt;=$C209+1, (-FV(InflationRate,$BE$7,,$F209)), 0)),0)</f>
        <v>0</v>
      </c>
      <c r="BH209" s="171">
        <f>IF($C209&gt;0,(IF($BE$7&gt;=$C209+1, (-FV(InflationRate,$BE$7,,$G209)), 0)),0)</f>
        <v>136431.13776544624</v>
      </c>
      <c r="BI209" s="160">
        <f>IF($C209&gt;0,(IF($C209=$BI$7,(-FV(InflationRate,$BI$7,,$D209)),0)),0)</f>
        <v>0</v>
      </c>
      <c r="BJ209" s="150">
        <f>IF($C209&gt;0,(IF($BI$7&gt;=$C209+1, (-FV(InflationRate,$BI$7,,$E209)), 0)),0)</f>
        <v>0</v>
      </c>
      <c r="BK209" s="150">
        <f>IF($C209&gt;0,(IF($BI$7&gt;=$C209+1, (-FV(InflationRate,$BI$7,,$F209)), 0)),0)</f>
        <v>0</v>
      </c>
      <c r="BL209" s="176">
        <f>IF($C209&gt;0,(IF($BI$7&gt;=$C209+1, (-FV(InflationRate,$BI$7,,$G209)), 0)),0)</f>
        <v>140524.07189840963</v>
      </c>
      <c r="BM209" s="168">
        <f>IF($C209&gt;0,(IF($C209=$BM$7,(-FV(InflationRate,$BM$7,,$D209)),0)),0)</f>
        <v>0</v>
      </c>
      <c r="BN209" s="149">
        <f>IF($C209&gt;0,(IF($BM$7&gt;=$C209+1, (-FV(InflationRate,$BM$7,,$E209)), 0)),0)</f>
        <v>0</v>
      </c>
      <c r="BO209" s="149">
        <f>IF($C209&gt;0,(IF($BM$7&gt;=$C209+1, (-FV(InflationRate,$BM$7,,$F209)), 0)),0)</f>
        <v>0</v>
      </c>
      <c r="BP209" s="157">
        <f>IF($C209&gt;0,(IF($BM$7&gt;=$C209+1, (-FV(InflationRate,$BM$7,,$G209)), 0)),0)</f>
        <v>144739.79405536191</v>
      </c>
      <c r="BQ209" s="160">
        <f>IF($C209&gt;0,(IF($C209=$BQ$7,(-FV(InflationRate,$BQ$7,,$D209)),0)),0)</f>
        <v>0</v>
      </c>
      <c r="BR209" s="150">
        <f>IF($C209&gt;0,(IF($BQ$7&gt;=$C209+1, (-FV(InflationRate,$BQ$7,,$E209)), 0)),0)</f>
        <v>0</v>
      </c>
      <c r="BS209" s="150">
        <f>IF($C209&gt;0,(IF($BQ$7&gt;=$C209+1, (-FV(InflationRate,$BQ$7,,$F209)), 0)),0)</f>
        <v>0</v>
      </c>
      <c r="BT209" s="176">
        <f>IF($C209&gt;0,(IF($BQ$7&gt;=$C209+1, (-FV(InflationRate,$BQ$7,,$G209)), 0)),0)</f>
        <v>149081.98787702277</v>
      </c>
      <c r="BU209" s="168">
        <f>IF($C209&gt;0,(IF($C209=$BU$7,(-FV(InflationRate,$BU$7,,$D209)),0)),0)</f>
        <v>0</v>
      </c>
      <c r="BV209" s="149">
        <f>IF($C209&gt;0,(IF($BU$7&gt;=$C209+1, (-FV(InflationRate,$BU$7,,$E209)), 0)),0)</f>
        <v>0</v>
      </c>
      <c r="BW209" s="149">
        <f>IF($C209&gt;0,(IF($BU$7&gt;=$C209+1, (-FV(InflationRate,$BU$7,,$F209)), 0)),0)</f>
        <v>0</v>
      </c>
      <c r="BX209" s="157">
        <f>IF($C209&gt;0,(IF($BU$7&gt;=$C209+1, (-FV(InflationRate,$BU$7,,$G209)), 0)),0)</f>
        <v>153554.44751333343</v>
      </c>
      <c r="BY209" s="160">
        <f>IF($C209&gt;0,(IF($C209=$BY$7,(-FV(InflationRate,$BY$7,,$D209)),0)),0)</f>
        <v>0</v>
      </c>
      <c r="BZ209" s="150">
        <f>IF($C209&gt;0,(IF($BY$7&gt;=$C209+1, (-FV(InflationRate,$BY$7,,$E209)), 0)),0)</f>
        <v>0</v>
      </c>
      <c r="CA209" s="150">
        <f>IF($C209&gt;0,(IF($BY$7&gt;=$C209+1, (-FV(InflationRate,$BY$7,,$F209)), 0)),0)</f>
        <v>0</v>
      </c>
      <c r="CB209" s="176">
        <f>IF($C209&gt;0,(IF($BY$7&gt;=$C209+1, (-FV(InflationRate,$BY$7,,$G209)), 0)),0)</f>
        <v>158161.08093873344</v>
      </c>
      <c r="CC209" s="168">
        <f>IF($C209&gt;0,(IF($C209=$CC$7,(-FV(InflationRate,$CC$7,,$D209)),0)),0)</f>
        <v>0</v>
      </c>
      <c r="CD209" s="149">
        <f>IF($C209&gt;0,(IF($CC$7&gt;=$C209+1, (-FV(InflationRate,$CC$7,,$E209)), 0)),0)</f>
        <v>0</v>
      </c>
      <c r="CE209" s="149">
        <f>IF($C209&gt;0,(IF($CC$7&gt;=$C209+1, (-FV(InflationRate,$CC$7,,$F209)), 0)),0)</f>
        <v>0</v>
      </c>
      <c r="CF209" s="157">
        <f>IF($C209&gt;0,(IF($CC$7&gt;=$C209+1, (-FV(InflationRate,$CC$7,,$G209)), 0)),0)</f>
        <v>162905.91336689546</v>
      </c>
      <c r="CG209" s="160">
        <f>IF($C209&gt;0,(IF($C209=$CG$7,(-FV(InflationRate,$CG$7,,$D209)),0)),0)</f>
        <v>0</v>
      </c>
      <c r="CH209" s="150">
        <f>IF($C209&gt;0,(IF($CG$7&gt;=$C209+1, (-FV(InflationRate,$CG$7,,$E209)), 0)),0)</f>
        <v>0</v>
      </c>
      <c r="CI209" s="150">
        <f>IF($C209&gt;0,(IF($CG$7&gt;=$C209+1, (-FV(InflationRate,$CG$7,,$F209)), 0)),0)</f>
        <v>0</v>
      </c>
      <c r="CJ209" s="176">
        <f>IF($C209&gt;0,(IF($CG$7&gt;=$C209+1, (-FV(InflationRate,$CG$7,,$G209)), 0)),0)</f>
        <v>167793.09076790232</v>
      </c>
      <c r="CK209" s="168">
        <f>IF($C209&gt;0,(IF($C209=$CK$7,(-FV(InflationRate,$CK$7,,$D209)),0)),0)</f>
        <v>0</v>
      </c>
      <c r="CL209" s="149">
        <f>IF($C209&gt;0,(IF($CK$7&gt;=$C209+1, (-FV(InflationRate,$CK$7,,$E209)), 0)),0)</f>
        <v>0</v>
      </c>
      <c r="CM209" s="149">
        <f>IF($C209&gt;0,(IF($CK$7&gt;=$C209+1, (-FV(InflationRate,$CK$7,,$F209)), 0)),0)</f>
        <v>0</v>
      </c>
      <c r="CN209" s="157">
        <f>IF($C209&gt;0,(IF($CK$7&gt;=$C209+1, (-FV(InflationRate,$CK$7,,$G209)), 0)),0)</f>
        <v>172826.88349093936</v>
      </c>
      <c r="CO209" s="160">
        <f>IF($C209&gt;0,(IF($C209=$CO$7,(-FV(InflationRate,$CO$7,,$D209)),0)),0)</f>
        <v>0</v>
      </c>
      <c r="CP209" s="150">
        <f>IF($C209&gt;0,(IF($CO$7&gt;=$C209+1, (-FV(InflationRate,$CO$7,,$E209)), 0)),0)</f>
        <v>0</v>
      </c>
      <c r="CQ209" s="150">
        <f>IF($C209&gt;0,(IF($CO$7&gt;=$C209+1, (-FV(InflationRate,$CO$7,,$F209)), 0)),0)</f>
        <v>0</v>
      </c>
      <c r="CR209" s="176">
        <f>IF($C209&gt;0,(IF($CO$7&gt;=$C209+1, (-FV(InflationRate,$CO$7,,$G209)), 0)),0)</f>
        <v>178011.68999566755</v>
      </c>
      <c r="CS209" s="168">
        <f>IF($C209&gt;0,(IF($C209=$CS$7,(-FV(InflationRate,$CS$7,,$D209)),0)),0)</f>
        <v>0</v>
      </c>
      <c r="CT209" s="149">
        <f>IF($C209&gt;0,(IF($CS$7&gt;=$C209+1, (-FV(InflationRate,$CS$7,,$E209)), 0)),0)</f>
        <v>0</v>
      </c>
      <c r="CU209" s="149">
        <f>IF($C209&gt;0,(IF($CS$7&gt;=$C209+1, (-FV(InflationRate,$CS$7,,$F209)), 0)),0)</f>
        <v>0</v>
      </c>
      <c r="CV209" s="157">
        <f>IF($C209&gt;0,(IF($CS$7&gt;=$C209+1, (-FV(InflationRate,$CS$7,,$G209)), 0)),0)</f>
        <v>183352.04069553758</v>
      </c>
      <c r="CW209" s="160">
        <f>IF($C209&gt;0,(IF($C209=$CW$7,(-FV(InflationRate,$CW$7,,$D209)),0)),0)</f>
        <v>0</v>
      </c>
      <c r="CX209" s="150">
        <f>IF($C209&gt;0,(IF($CW$7&gt;=$C209+1, (-FV(InflationRate,$CW$7,,$E209)), 0)),0)</f>
        <v>0</v>
      </c>
      <c r="CY209" s="150">
        <f>IF($C209&gt;0,(IF($CW$7&gt;=$C209+1, (-FV(InflationRate,$CW$7,,$F209)), 0)),0)</f>
        <v>0</v>
      </c>
      <c r="CZ209" s="176">
        <f>IF($C209&gt;0,(IF($CW$7&gt;=$C209+1, (-FV(InflationRate,$CW$7,,$G209)), 0)),0)</f>
        <v>188852.60191640371</v>
      </c>
      <c r="DA209" s="168">
        <f>IF($C209&gt;0,(IF($C209=$DA$7,(-FV(InflationRate,$DA$7,,$D209)),0)),0)</f>
        <v>0</v>
      </c>
      <c r="DB209" s="149">
        <f>IF($C209&gt;0,(IF($DA$7&gt;=$C209+1, (-FV(InflationRate,$DA$7,,$E209)), 0)),0)</f>
        <v>0</v>
      </c>
      <c r="DC209" s="149">
        <f>IF($C209&gt;0,(IF($DA$7&gt;=$C209+1, (-FV(InflationRate,$DA$7,,$F209)), 0)),0)</f>
        <v>0</v>
      </c>
      <c r="DD209" s="157">
        <f>IF($C209&gt;0,(IF($DA$7&gt;=$C209+1, (-FV(InflationRate,$DA$7,,$G209)), 0)),0)</f>
        <v>194518.17997389581</v>
      </c>
    </row>
    <row r="210" spans="2:108" x14ac:dyDescent="0.2">
      <c r="B210" s="183" t="s">
        <v>203</v>
      </c>
      <c r="C210" s="556">
        <v>7</v>
      </c>
      <c r="D210" s="168"/>
      <c r="E210" s="149"/>
      <c r="F210" s="149">
        <f>F207</f>
        <v>16100</v>
      </c>
      <c r="G210" s="149"/>
      <c r="H210" s="168">
        <f>SUM(I210:AB210)</f>
        <v>257406.70097673783</v>
      </c>
      <c r="I210" s="610">
        <f>-PV(InterestRate,I$8,,(SUM(AC210:AF210)))</f>
        <v>0</v>
      </c>
      <c r="J210" s="610">
        <f>-PV(InterestRate,J$8,,(SUM(AG210:AJ210)))</f>
        <v>0</v>
      </c>
      <c r="K210" s="610">
        <f>-PV(InterestRate,K$8,,(SUM(AK210:AN210)))</f>
        <v>0</v>
      </c>
      <c r="L210" s="610">
        <f>-PV(InterestRate,L$8,,(SUM(AO210:AR210)))</f>
        <v>0</v>
      </c>
      <c r="M210" s="610">
        <f>-PV(InterestRate,M$8,,(SUM(AS210:AV210)))</f>
        <v>0</v>
      </c>
      <c r="N210" s="610">
        <f>-PV(InterestRate,N$8,,(SUM(AW210:AZ210)))</f>
        <v>0</v>
      </c>
      <c r="O210" s="610">
        <f>-PV(InterestRate,O$8,,(SUM(BA210:BD210)))</f>
        <v>0</v>
      </c>
      <c r="P210" s="610">
        <f>-PV(InterestRate,P$8,,(SUM(BE210:BH210)))</f>
        <v>18104.866869991707</v>
      </c>
      <c r="Q210" s="610">
        <f>-PV(InterestRate,Q$8,,(SUM(BI210:BL210)))</f>
        <v>18372.426478907848</v>
      </c>
      <c r="R210" s="610">
        <f>-PV(InterestRate,R$8,,(SUM(BM210:BP210)))</f>
        <v>18643.94017071437</v>
      </c>
      <c r="S210" s="610">
        <f>-PV(InterestRate,S$8,,(SUM(BQ210:BT210)))</f>
        <v>18919.466380133796</v>
      </c>
      <c r="T210" s="610">
        <f>-PV(InterestRate,T$8,,(SUM(BU210:BX210)))</f>
        <v>19199.064405455971</v>
      </c>
      <c r="U210" s="610">
        <f>-PV(InterestRate,U$8,,(SUM(BY210:CB210)))</f>
        <v>19482.79442130015</v>
      </c>
      <c r="V210" s="610">
        <f>-PV(InterestRate,V$8,,(SUM(CC210:CF210)))</f>
        <v>19770.717491565676</v>
      </c>
      <c r="W210" s="610">
        <f>-PV(InterestRate,W$8,,(SUM(CG210:CJ210)))</f>
        <v>20062.895582574038</v>
      </c>
      <c r="X210" s="610">
        <f>-PV(InterestRate,X$8,,(SUM(CK210:CN210)))</f>
        <v>20359.391576405178</v>
      </c>
      <c r="Y210" s="610">
        <f>-PV(InterestRate,Y$8,,(SUM(CO210:CR210)))</f>
        <v>20660.269284430877</v>
      </c>
      <c r="Z210" s="610">
        <f>-PV(InterestRate,Z$8,,(SUM(CS210:CV210)))</f>
        <v>20965.593461048084</v>
      </c>
      <c r="AA210" s="610">
        <f>-PV(InterestRate,AA$8,,(SUM(CW210:CZ210)))</f>
        <v>21275.429817615295</v>
      </c>
      <c r="AB210" s="611">
        <f>-PV(InterestRate,AB$8,,(SUM(DA210:DD210)))</f>
        <v>21589.845036594837</v>
      </c>
      <c r="AC210" s="160"/>
      <c r="AD210" s="150"/>
      <c r="AE210" s="150"/>
      <c r="AF210" s="165"/>
      <c r="AG210" s="168"/>
      <c r="AH210" s="149"/>
      <c r="AI210" s="149"/>
      <c r="AJ210" s="171"/>
      <c r="AK210" s="160"/>
      <c r="AL210" s="150"/>
      <c r="AM210" s="150"/>
      <c r="AN210" s="165"/>
      <c r="AO210" s="168">
        <f>IF($C210&gt;0,(IF($C210=$AO$7,(-FV(InflationRate,$AO$7,,$D210)),0)),0)</f>
        <v>0</v>
      </c>
      <c r="AP210" s="149">
        <f>IF($C210&gt;0,(IF($AO$7&gt;=$C210+1, (-FV(InflationRate,$AO$7,,$E210)), 0)),0)</f>
        <v>0</v>
      </c>
      <c r="AQ210" s="149">
        <f>IF($C210&gt;0,(IF($AO$7&gt;=$C210+1, (-FV(InflationRate,$AO$7,,$F210)), 0)),0)</f>
        <v>0</v>
      </c>
      <c r="AR210" s="157">
        <f>IF($C210&gt;0,(IF($AO$7&gt;=$C210+1, (-FV(InflationRate,$AO$7,,$G210)), 0)),0)</f>
        <v>0</v>
      </c>
      <c r="AS210" s="160">
        <f>IF($C210&gt;0,(IF($C210=$AS$7,(-FV(InflationRate,$AS$7,,$D210)),0)),0)</f>
        <v>0</v>
      </c>
      <c r="AT210" s="150">
        <f>IF($C210&gt;0,(IF($AS$7&gt;=$C210+1, (-FV(InflationRate,$AS$7,,$E210)), 0)),0)</f>
        <v>0</v>
      </c>
      <c r="AU210" s="150">
        <f>IF($C210&gt;0,(IF($AS$7&gt;=$C210+1, (-FV(InflationRate,$AS$7,,$F210)), 0)),0)</f>
        <v>0</v>
      </c>
      <c r="AV210" s="165">
        <f>IF($C210&gt;0,(IF($AS$7&gt;=$C210+1, (-FV(InflationRate,$AS$7,,$G210)), 0)),0)</f>
        <v>0</v>
      </c>
      <c r="AW210" s="168">
        <f>IF($C210&gt;0,(IF($C210=$AW$7,(-FV(InflationRate,$AW$7,,$D210)),0)),0)</f>
        <v>0</v>
      </c>
      <c r="AX210" s="149">
        <f>IF($C210&gt;0,(IF($AW$7&gt;=$C210+1, (-FV(InflationRate,$AW$7,,$E210)), 0)),0)</f>
        <v>0</v>
      </c>
      <c r="AY210" s="149">
        <f>IF($C210&gt;0,(IF($AW$7&gt;=$C210+1, (-FV(InflationRate,$AW$7,,$F210)), 0)),0)</f>
        <v>0</v>
      </c>
      <c r="AZ210" s="157">
        <f>IF($C210&gt;0,(IF($AW$7&gt;=$C210+1, (-FV(InflationRate,$AW$7,,$G210)), 0)),0)</f>
        <v>0</v>
      </c>
      <c r="BA210" s="160">
        <f>IF($C210&gt;0,(IF($C210=$BA$7,(-FV(InflationRate,$BA$7,,$D210)),0)),0)</f>
        <v>0</v>
      </c>
      <c r="BB210" s="150">
        <f>IF($C210&gt;0,(IF($BA$7&gt;=$C210+1, (-FV(InflationRate,$BA$7,,$E210)), 0)),0)</f>
        <v>0</v>
      </c>
      <c r="BC210" s="150">
        <f>IF($C210&gt;0,(IF($BA$7&gt;=$C210+1, (-FV(InflationRate,$BA$7,,$F210)), 0)),0)</f>
        <v>0</v>
      </c>
      <c r="BD210" s="176">
        <f>IF($C210&gt;0,(IF($BA$7&gt;=$C210+1, (-FV(InflationRate,$BA$7,,$G210)), 0)),0)</f>
        <v>0</v>
      </c>
      <c r="BE210" s="168">
        <f>IF($C210&gt;0,(IF($C210=$BE$7,(-FV(InflationRate,$BE$7,,$D210)),0)),0)</f>
        <v>0</v>
      </c>
      <c r="BF210" s="149">
        <f>IF($C210&gt;0,(IF($BE$7&gt;=$C210+1, (-FV(InflationRate,$BE$7,,$E210)), 0)),0)</f>
        <v>0</v>
      </c>
      <c r="BG210" s="149">
        <f>IF($C210&gt;0,(IF($BE$7&gt;=$C210+1, (-FV(InflationRate,$BE$7,,$F210)), 0)),0)</f>
        <v>20394.998310340616</v>
      </c>
      <c r="BH210" s="171">
        <f>IF($C210&gt;0,(IF($BE$7&gt;=$C210+1, (-FV(InflationRate,$BE$7,,$G210)), 0)),0)</f>
        <v>0</v>
      </c>
      <c r="BI210" s="160">
        <f>IF($C210&gt;0,(IF($C210=$BI$7,(-FV(InflationRate,$BI$7,,$D210)),0)),0)</f>
        <v>0</v>
      </c>
      <c r="BJ210" s="150">
        <f>IF($C210&gt;0,(IF($BI$7&gt;=$C210+1, (-FV(InflationRate,$BI$7,,$E210)), 0)),0)</f>
        <v>0</v>
      </c>
      <c r="BK210" s="150">
        <f>IF($C210&gt;0,(IF($BI$7&gt;=$C210+1, (-FV(InflationRate,$BI$7,,$F210)), 0)),0)</f>
        <v>21006.848259650837</v>
      </c>
      <c r="BL210" s="176">
        <f>IF($C210&gt;0,(IF($BI$7&gt;=$C210+1, (-FV(InflationRate,$BI$7,,$G210)), 0)),0)</f>
        <v>0</v>
      </c>
      <c r="BM210" s="168">
        <f>IF($C210&gt;0,(IF($C210=$BM$7,(-FV(InflationRate,$BM$7,,$D210)),0)),0)</f>
        <v>0</v>
      </c>
      <c r="BN210" s="149">
        <f>IF($C210&gt;0,(IF($BM$7&gt;=$C210+1, (-FV(InflationRate,$BM$7,,$E210)), 0)),0)</f>
        <v>0</v>
      </c>
      <c r="BO210" s="149">
        <f>IF($C210&gt;0,(IF($BM$7&gt;=$C210+1, (-FV(InflationRate,$BM$7,,$F210)), 0)),0)</f>
        <v>21637.053707440362</v>
      </c>
      <c r="BP210" s="157">
        <f>IF($C210&gt;0,(IF($BM$7&gt;=$C210+1, (-FV(InflationRate,$BM$7,,$G210)), 0)),0)</f>
        <v>0</v>
      </c>
      <c r="BQ210" s="160">
        <f>IF($C210&gt;0,(IF($C210=$BQ$7,(-FV(InflationRate,$BQ$7,,$D210)),0)),0)</f>
        <v>0</v>
      </c>
      <c r="BR210" s="150">
        <f>IF($C210&gt;0,(IF($BQ$7&gt;=$C210+1, (-FV(InflationRate,$BQ$7,,$E210)), 0)),0)</f>
        <v>0</v>
      </c>
      <c r="BS210" s="150">
        <f>IF($C210&gt;0,(IF($BQ$7&gt;=$C210+1, (-FV(InflationRate,$BQ$7,,$F210)), 0)),0)</f>
        <v>22286.165318663574</v>
      </c>
      <c r="BT210" s="176">
        <f>IF($C210&gt;0,(IF($BQ$7&gt;=$C210+1, (-FV(InflationRate,$BQ$7,,$G210)), 0)),0)</f>
        <v>0</v>
      </c>
      <c r="BU210" s="168">
        <f>IF($C210&gt;0,(IF($C210=$BU$7,(-FV(InflationRate,$BU$7,,$D210)),0)),0)</f>
        <v>0</v>
      </c>
      <c r="BV210" s="149">
        <f>IF($C210&gt;0,(IF($BU$7&gt;=$C210+1, (-FV(InflationRate,$BU$7,,$E210)), 0)),0)</f>
        <v>0</v>
      </c>
      <c r="BW210" s="149">
        <f>IF($C210&gt;0,(IF($BU$7&gt;=$C210+1, (-FV(InflationRate,$BU$7,,$F210)), 0)),0)</f>
        <v>22954.750278223477</v>
      </c>
      <c r="BX210" s="157">
        <f>IF($C210&gt;0,(IF($BU$7&gt;=$C210+1, (-FV(InflationRate,$BU$7,,$G210)), 0)),0)</f>
        <v>0</v>
      </c>
      <c r="BY210" s="160">
        <f>IF($C210&gt;0,(IF($C210=$BY$7,(-FV(InflationRate,$BY$7,,$D210)),0)),0)</f>
        <v>0</v>
      </c>
      <c r="BZ210" s="150">
        <f>IF($C210&gt;0,(IF($BY$7&gt;=$C210+1, (-FV(InflationRate,$BY$7,,$E210)), 0)),0)</f>
        <v>0</v>
      </c>
      <c r="CA210" s="150">
        <f>IF($C210&gt;0,(IF($BY$7&gt;=$C210+1, (-FV(InflationRate,$BY$7,,$F210)), 0)),0)</f>
        <v>23643.392786570181</v>
      </c>
      <c r="CB210" s="176">
        <f>IF($C210&gt;0,(IF($BY$7&gt;=$C210+1, (-FV(InflationRate,$BY$7,,$G210)), 0)),0)</f>
        <v>0</v>
      </c>
      <c r="CC210" s="168">
        <f>IF($C210&gt;0,(IF($C210=$CC$7,(-FV(InflationRate,$CC$7,,$D210)),0)),0)</f>
        <v>0</v>
      </c>
      <c r="CD210" s="149">
        <f>IF($C210&gt;0,(IF($CC$7&gt;=$C210+1, (-FV(InflationRate,$CC$7,,$E210)), 0)),0)</f>
        <v>0</v>
      </c>
      <c r="CE210" s="149">
        <f>IF($C210&gt;0,(IF($CC$7&gt;=$C210+1, (-FV(InflationRate,$CC$7,,$F210)), 0)),0)</f>
        <v>24352.694570167288</v>
      </c>
      <c r="CF210" s="157">
        <f>IF($C210&gt;0,(IF($CC$7&gt;=$C210+1, (-FV(InflationRate,$CC$7,,$G210)), 0)),0)</f>
        <v>0</v>
      </c>
      <c r="CG210" s="160">
        <f>IF($C210&gt;0,(IF($C210=$CG$7,(-FV(InflationRate,$CG$7,,$D210)),0)),0)</f>
        <v>0</v>
      </c>
      <c r="CH210" s="150">
        <f>IF($C210&gt;0,(IF($CG$7&gt;=$C210+1, (-FV(InflationRate,$CG$7,,$E210)), 0)),0)</f>
        <v>0</v>
      </c>
      <c r="CI210" s="150">
        <f>IF($C210&gt;0,(IF($CG$7&gt;=$C210+1, (-FV(InflationRate,$CG$7,,$F210)), 0)),0)</f>
        <v>25083.275407272307</v>
      </c>
      <c r="CJ210" s="176">
        <f>IF($C210&gt;0,(IF($CG$7&gt;=$C210+1, (-FV(InflationRate,$CG$7,,$G210)), 0)),0)</f>
        <v>0</v>
      </c>
      <c r="CK210" s="168">
        <f>IF($C210&gt;0,(IF($C210=$CK$7,(-FV(InflationRate,$CK$7,,$D210)),0)),0)</f>
        <v>0</v>
      </c>
      <c r="CL210" s="149">
        <f>IF($C210&gt;0,(IF($CK$7&gt;=$C210+1, (-FV(InflationRate,$CK$7,,$E210)), 0)),0)</f>
        <v>0</v>
      </c>
      <c r="CM210" s="149">
        <f>IF($C210&gt;0,(IF($CK$7&gt;=$C210+1, (-FV(InflationRate,$CK$7,,$F210)), 0)),0)</f>
        <v>25835.773669490471</v>
      </c>
      <c r="CN210" s="157">
        <f>IF($C210&gt;0,(IF($CK$7&gt;=$C210+1, (-FV(InflationRate,$CK$7,,$G210)), 0)),0)</f>
        <v>0</v>
      </c>
      <c r="CO210" s="160">
        <f>IF($C210&gt;0,(IF($C210=$CO$7,(-FV(InflationRate,$CO$7,,$D210)),0)),0)</f>
        <v>0</v>
      </c>
      <c r="CP210" s="150">
        <f>IF($C210&gt;0,(IF($CO$7&gt;=$C210+1, (-FV(InflationRate,$CO$7,,$E210)), 0)),0)</f>
        <v>0</v>
      </c>
      <c r="CQ210" s="150">
        <f>IF($C210&gt;0,(IF($CO$7&gt;=$C210+1, (-FV(InflationRate,$CO$7,,$F210)), 0)),0)</f>
        <v>26610.846879575187</v>
      </c>
      <c r="CR210" s="176">
        <f>IF($C210&gt;0,(IF($CO$7&gt;=$C210+1, (-FV(InflationRate,$CO$7,,$G210)), 0)),0)</f>
        <v>0</v>
      </c>
      <c r="CS210" s="168">
        <f>IF($C210&gt;0,(IF($C210=$CS$7,(-FV(InflationRate,$CS$7,,$D210)),0)),0)</f>
        <v>0</v>
      </c>
      <c r="CT210" s="149">
        <f>IF($C210&gt;0,(IF($CS$7&gt;=$C210+1, (-FV(InflationRate,$CS$7,,$E210)), 0)),0)</f>
        <v>0</v>
      </c>
      <c r="CU210" s="149">
        <f>IF($C210&gt;0,(IF($CS$7&gt;=$C210+1, (-FV(InflationRate,$CS$7,,$F210)), 0)),0)</f>
        <v>27409.172285962442</v>
      </c>
      <c r="CV210" s="157">
        <f>IF($C210&gt;0,(IF($CS$7&gt;=$C210+1, (-FV(InflationRate,$CS$7,,$G210)), 0)),0)</f>
        <v>0</v>
      </c>
      <c r="CW210" s="160">
        <f>IF($C210&gt;0,(IF($C210=$CW$7,(-FV(InflationRate,$CW$7,,$D210)),0)),0)</f>
        <v>0</v>
      </c>
      <c r="CX210" s="150">
        <f>IF($C210&gt;0,(IF($CW$7&gt;=$C210+1, (-FV(InflationRate,$CW$7,,$E210)), 0)),0)</f>
        <v>0</v>
      </c>
      <c r="CY210" s="150">
        <f>IF($C210&gt;0,(IF($CW$7&gt;=$C210+1, (-FV(InflationRate,$CW$7,,$F210)), 0)),0)</f>
        <v>28231.447454541314</v>
      </c>
      <c r="CZ210" s="176">
        <f>IF($C210&gt;0,(IF($CW$7&gt;=$C210+1, (-FV(InflationRate,$CW$7,,$G210)), 0)),0)</f>
        <v>0</v>
      </c>
      <c r="DA210" s="168">
        <f>IF($C210&gt;0,(IF($C210=$DA$7,(-FV(InflationRate,$DA$7,,$D210)),0)),0)</f>
        <v>0</v>
      </c>
      <c r="DB210" s="149">
        <f>IF($C210&gt;0,(IF($DA$7&gt;=$C210+1, (-FV(InflationRate,$DA$7,,$E210)), 0)),0)</f>
        <v>0</v>
      </c>
      <c r="DC210" s="149">
        <f>IF($C210&gt;0,(IF($DA$7&gt;=$C210+1, (-FV(InflationRate,$DA$7,,$F210)), 0)),0)</f>
        <v>29078.390878177554</v>
      </c>
      <c r="DD210" s="157">
        <f>IF($C210&gt;0,(IF($DA$7&gt;=$C210+1, (-FV(InflationRate,$DA$7,,$G210)), 0)),0)</f>
        <v>0</v>
      </c>
    </row>
    <row r="211" spans="2:108" x14ac:dyDescent="0.2">
      <c r="B211" s="182"/>
      <c r="C211" s="189"/>
      <c r="D211" s="168"/>
      <c r="E211" s="149"/>
      <c r="F211" s="149"/>
      <c r="G211" s="149"/>
      <c r="H211" s="168"/>
      <c r="I211" s="600"/>
      <c r="J211" s="600"/>
      <c r="K211" s="600"/>
      <c r="L211" s="600"/>
      <c r="M211" s="600"/>
      <c r="N211" s="600"/>
      <c r="O211" s="600"/>
      <c r="P211" s="600"/>
      <c r="Q211" s="600"/>
      <c r="R211" s="600"/>
      <c r="S211" s="600"/>
      <c r="T211" s="600"/>
      <c r="U211" s="600"/>
      <c r="V211" s="600"/>
      <c r="W211" s="600"/>
      <c r="X211" s="600"/>
      <c r="Y211" s="600"/>
      <c r="Z211" s="600"/>
      <c r="AA211" s="600"/>
      <c r="AB211" s="601"/>
      <c r="AC211" s="160"/>
      <c r="AD211" s="150"/>
      <c r="AE211" s="150"/>
      <c r="AF211" s="165"/>
      <c r="AG211" s="168"/>
      <c r="AH211" s="149"/>
      <c r="AI211" s="149"/>
      <c r="AJ211" s="171"/>
      <c r="AK211" s="160"/>
      <c r="AL211" s="150"/>
      <c r="AM211" s="150"/>
      <c r="AN211" s="165"/>
      <c r="AO211" s="168"/>
      <c r="AP211" s="149"/>
      <c r="AQ211" s="149"/>
      <c r="AR211" s="157"/>
      <c r="AS211" s="160"/>
      <c r="AT211" s="150"/>
      <c r="AU211" s="150"/>
      <c r="AV211" s="165"/>
      <c r="AW211" s="168"/>
      <c r="AX211" s="149"/>
      <c r="AY211" s="149"/>
      <c r="AZ211" s="157"/>
      <c r="BA211" s="160"/>
      <c r="BB211" s="150"/>
      <c r="BC211" s="150"/>
      <c r="BD211" s="176"/>
      <c r="BE211" s="168"/>
      <c r="BF211" s="149"/>
      <c r="BG211" s="149"/>
      <c r="BH211" s="171"/>
      <c r="BI211" s="160"/>
      <c r="BJ211" s="150"/>
      <c r="BK211" s="150"/>
      <c r="BL211" s="176"/>
      <c r="BM211" s="168"/>
      <c r="BN211" s="149"/>
      <c r="BO211" s="149"/>
      <c r="BP211" s="157"/>
      <c r="BQ211" s="160"/>
      <c r="BR211" s="150"/>
      <c r="BS211" s="150"/>
      <c r="BT211" s="176"/>
      <c r="BU211" s="168"/>
      <c r="BV211" s="149"/>
      <c r="BW211" s="149"/>
      <c r="BX211" s="157"/>
      <c r="BY211" s="160"/>
      <c r="BZ211" s="150"/>
      <c r="CA211" s="150"/>
      <c r="CB211" s="176"/>
      <c r="CC211" s="168"/>
      <c r="CD211" s="149"/>
      <c r="CE211" s="149"/>
      <c r="CF211" s="157"/>
      <c r="CG211" s="160"/>
      <c r="CH211" s="150"/>
      <c r="CI211" s="150"/>
      <c r="CJ211" s="176"/>
      <c r="CK211" s="168"/>
      <c r="CL211" s="149"/>
      <c r="CM211" s="149"/>
      <c r="CN211" s="157"/>
      <c r="CO211" s="160"/>
      <c r="CP211" s="150"/>
      <c r="CQ211" s="150"/>
      <c r="CR211" s="176"/>
      <c r="CS211" s="168"/>
      <c r="CT211" s="149"/>
      <c r="CU211" s="149"/>
      <c r="CV211" s="157"/>
      <c r="CW211" s="160"/>
      <c r="CX211" s="150"/>
      <c r="CY211" s="150"/>
      <c r="CZ211" s="176"/>
      <c r="DA211" s="168"/>
      <c r="DB211" s="149"/>
      <c r="DC211" s="149"/>
      <c r="DD211" s="157"/>
    </row>
    <row r="212" spans="2:108" x14ac:dyDescent="0.2">
      <c r="B212" s="182" t="str">
        <f>'PRB - S2'!B5</f>
        <v>Permeable Reactive Barriers - Site 2</v>
      </c>
      <c r="C212" s="189"/>
      <c r="D212" s="194">
        <f>'PRB - S2'!F34</f>
        <v>3182800</v>
      </c>
      <c r="E212" s="195">
        <f>'PRB - S2'!F63</f>
        <v>0</v>
      </c>
      <c r="F212" s="195">
        <f>'PRB - S2'!F94</f>
        <v>85300</v>
      </c>
      <c r="G212" s="195">
        <f>'PRB - S2'!F123</f>
        <v>455000</v>
      </c>
      <c r="H212" s="168"/>
      <c r="I212" s="600"/>
      <c r="J212" s="600"/>
      <c r="K212" s="600"/>
      <c r="L212" s="600"/>
      <c r="M212" s="600"/>
      <c r="N212" s="600"/>
      <c r="O212" s="600"/>
      <c r="P212" s="600"/>
      <c r="Q212" s="600"/>
      <c r="R212" s="600"/>
      <c r="S212" s="600"/>
      <c r="T212" s="600"/>
      <c r="U212" s="600"/>
      <c r="V212" s="600"/>
      <c r="W212" s="600"/>
      <c r="X212" s="600"/>
      <c r="Y212" s="600"/>
      <c r="Z212" s="600"/>
      <c r="AA212" s="600"/>
      <c r="AB212" s="601"/>
      <c r="AC212" s="160"/>
      <c r="AD212" s="150"/>
      <c r="AE212" s="150"/>
      <c r="AF212" s="165"/>
      <c r="AG212" s="168"/>
      <c r="AH212" s="149"/>
      <c r="AI212" s="149"/>
      <c r="AJ212" s="171"/>
      <c r="AK212" s="160"/>
      <c r="AL212" s="150"/>
      <c r="AM212" s="150"/>
      <c r="AN212" s="165"/>
      <c r="AO212" s="168"/>
      <c r="AP212" s="149"/>
      <c r="AQ212" s="149"/>
      <c r="AR212" s="157"/>
      <c r="AS212" s="160"/>
      <c r="AT212" s="150"/>
      <c r="AU212" s="150"/>
      <c r="AV212" s="165"/>
      <c r="AW212" s="168"/>
      <c r="AX212" s="149"/>
      <c r="AY212" s="149"/>
      <c r="AZ212" s="157"/>
      <c r="BA212" s="160"/>
      <c r="BB212" s="150"/>
      <c r="BC212" s="150"/>
      <c r="BD212" s="176"/>
      <c r="BE212" s="168"/>
      <c r="BF212" s="149"/>
      <c r="BG212" s="149"/>
      <c r="BH212" s="171"/>
      <c r="BI212" s="160"/>
      <c r="BJ212" s="150"/>
      <c r="BK212" s="150"/>
      <c r="BL212" s="176"/>
      <c r="BM212" s="168"/>
      <c r="BN212" s="149"/>
      <c r="BO212" s="149"/>
      <c r="BP212" s="157"/>
      <c r="BQ212" s="160"/>
      <c r="BR212" s="150"/>
      <c r="BS212" s="150"/>
      <c r="BT212" s="176"/>
      <c r="BU212" s="168"/>
      <c r="BV212" s="149"/>
      <c r="BW212" s="149"/>
      <c r="BX212" s="157"/>
      <c r="BY212" s="160"/>
      <c r="BZ212" s="150"/>
      <c r="CA212" s="150"/>
      <c r="CB212" s="176"/>
      <c r="CC212" s="168"/>
      <c r="CD212" s="149"/>
      <c r="CE212" s="149"/>
      <c r="CF212" s="157"/>
      <c r="CG212" s="160"/>
      <c r="CH212" s="150"/>
      <c r="CI212" s="150"/>
      <c r="CJ212" s="176"/>
      <c r="CK212" s="168"/>
      <c r="CL212" s="149"/>
      <c r="CM212" s="149"/>
      <c r="CN212" s="157"/>
      <c r="CO212" s="160"/>
      <c r="CP212" s="150"/>
      <c r="CQ212" s="150"/>
      <c r="CR212" s="176"/>
      <c r="CS212" s="168"/>
      <c r="CT212" s="149"/>
      <c r="CU212" s="149"/>
      <c r="CV212" s="157"/>
      <c r="CW212" s="160"/>
      <c r="CX212" s="150"/>
      <c r="CY212" s="150"/>
      <c r="CZ212" s="176"/>
      <c r="DA212" s="168"/>
      <c r="DB212" s="149"/>
      <c r="DC212" s="149"/>
      <c r="DD212" s="157"/>
    </row>
    <row r="213" spans="2:108" x14ac:dyDescent="0.2">
      <c r="B213" s="183" t="s">
        <v>220</v>
      </c>
      <c r="C213" s="556">
        <v>5</v>
      </c>
      <c r="D213" s="168">
        <f>'PRB - S2'!F31+'PRB - S2'!F32</f>
        <v>353700</v>
      </c>
      <c r="E213" s="149"/>
      <c r="F213" s="149"/>
      <c r="G213" s="149"/>
      <c r="H213" s="168">
        <f>SUM(I213:AB213)</f>
        <v>380619.44538435695</v>
      </c>
      <c r="I213" s="610">
        <f>-PV(InterestRate,I$8,,(SUM(AC213:AF213)))</f>
        <v>0</v>
      </c>
      <c r="J213" s="610">
        <f>-PV(InterestRate,J$8,,(SUM(AG213:AJ213)))</f>
        <v>0</v>
      </c>
      <c r="K213" s="610">
        <f>-PV(InterestRate,K$8,,(SUM(AK213:AN213)))</f>
        <v>0</v>
      </c>
      <c r="L213" s="610">
        <f>-PV(InterestRate,L$8,,(SUM(AO213:AR213)))</f>
        <v>0</v>
      </c>
      <c r="M213" s="610">
        <f>-PV(InterestRate,M$8,,(SUM(AS213:AV213)))</f>
        <v>380619.44538435695</v>
      </c>
      <c r="N213" s="610">
        <f>-PV(InterestRate,N$8,,(SUM(AW213:AZ213)))</f>
        <v>0</v>
      </c>
      <c r="O213" s="610">
        <f>-PV(InterestRate,O$8,,(SUM(BA213:BD213)))</f>
        <v>0</v>
      </c>
      <c r="P213" s="610">
        <f>-PV(InterestRate,P$8,,(SUM(BE213:BH213)))</f>
        <v>0</v>
      </c>
      <c r="Q213" s="610">
        <f>-PV(InterestRate,Q$8,,(SUM(BI213:BL213)))</f>
        <v>0</v>
      </c>
      <c r="R213" s="610">
        <f>-PV(InterestRate,R$8,,(SUM(BM213:BP213)))</f>
        <v>0</v>
      </c>
      <c r="S213" s="610">
        <f>-PV(InterestRate,S$8,,(SUM(BQ213:BT213)))</f>
        <v>0</v>
      </c>
      <c r="T213" s="610">
        <f>-PV(InterestRate,T$8,,(SUM(BU213:BX213)))</f>
        <v>0</v>
      </c>
      <c r="U213" s="610">
        <f>-PV(InterestRate,U$8,,(SUM(BY213:CB213)))</f>
        <v>0</v>
      </c>
      <c r="V213" s="610">
        <f>-PV(InterestRate,V$8,,(SUM(CC213:CF213)))</f>
        <v>0</v>
      </c>
      <c r="W213" s="610">
        <f>-PV(InterestRate,W$8,,(SUM(CG213:CJ213)))</f>
        <v>0</v>
      </c>
      <c r="X213" s="610">
        <f>-PV(InterestRate,X$8,,(SUM(CK213:CN213)))</f>
        <v>0</v>
      </c>
      <c r="Y213" s="610">
        <f>-PV(InterestRate,Y$8,,(SUM(CO213:CR213)))</f>
        <v>0</v>
      </c>
      <c r="Z213" s="610">
        <f>-PV(InterestRate,Z$8,,(SUM(CS213:CV213)))</f>
        <v>0</v>
      </c>
      <c r="AA213" s="610">
        <f>-PV(InterestRate,AA$8,,(SUM(CW213:CZ213)))</f>
        <v>0</v>
      </c>
      <c r="AB213" s="611">
        <f>-PV(InterestRate,AB$8,,(SUM(DA213:DD213)))</f>
        <v>0</v>
      </c>
      <c r="AC213" s="160"/>
      <c r="AD213" s="150"/>
      <c r="AE213" s="150"/>
      <c r="AF213" s="165"/>
      <c r="AG213" s="168"/>
      <c r="AH213" s="149"/>
      <c r="AI213" s="149"/>
      <c r="AJ213" s="171"/>
      <c r="AK213" s="160"/>
      <c r="AL213" s="150"/>
      <c r="AM213" s="150"/>
      <c r="AN213" s="165"/>
      <c r="AO213" s="168">
        <f>IF($C213&gt;0,(IF($C213=$AO$7,(-FV(InflationRate,$AO$7,,$D213)),0)),0)</f>
        <v>0</v>
      </c>
      <c r="AP213" s="149">
        <f>IF($C213&gt;0,(IF($AO$7&gt;=$C213+1, (-FV(InflationRate,$AO$7,,$E213)), 0)),0)</f>
        <v>0</v>
      </c>
      <c r="AQ213" s="149">
        <f>IF($C213&gt;0,(IF($AO$7&gt;=$C213+1, (-FV(InflationRate,$AO$7,,$F213)), 0)),0)</f>
        <v>0</v>
      </c>
      <c r="AR213" s="157">
        <f>IF($C213&gt;0,(IF($AO$7&gt;=$C213+1, (-FV(InflationRate,$AO$7,,$G213)), 0)),0)</f>
        <v>0</v>
      </c>
      <c r="AS213" s="160">
        <f>IF($C213&gt;0,(IF($C213=$AS$7,(-FV(InflationRate,$AS$7,,$D213)),0)),0)</f>
        <v>410035.24007990997</v>
      </c>
      <c r="AT213" s="150">
        <f>IF($C213&gt;0,(IF($AS$7&gt;=$C213+1, (-FV(InflationRate,$AS$7,,$E213)), 0)),0)</f>
        <v>0</v>
      </c>
      <c r="AU213" s="150">
        <f>IF($C213&gt;0,(IF($AS$7&gt;=$C213+1, (-FV(InflationRate,$AS$7,,$F213)), 0)),0)</f>
        <v>0</v>
      </c>
      <c r="AV213" s="165">
        <f>IF($C213&gt;0,(IF($AS$7&gt;=$C213+1, (-FV(InflationRate,$AS$7,,$G213)), 0)),0)</f>
        <v>0</v>
      </c>
      <c r="AW213" s="168">
        <f>IF($C213&gt;0,(IF($C213=$AW$7,(-FV(InflationRate,$AW$7,,$D213)),0)),0)</f>
        <v>0</v>
      </c>
      <c r="AX213" s="149">
        <f>IF($C213&gt;0,(IF($AW$7&gt;=$C213+1, (-FV(InflationRate,$AW$7,,$E213)), 0)),0)</f>
        <v>0</v>
      </c>
      <c r="AY213" s="149">
        <f>IF($C213&gt;0,(IF($AW$7&gt;=$C213+1, (-FV(InflationRate,$AW$7,,$F213)), 0)),0)</f>
        <v>0</v>
      </c>
      <c r="AZ213" s="157">
        <f>IF($C213&gt;0,(IF($AW$7&gt;=$C213+1, (-FV(InflationRate,$AW$7,,$G213)), 0)),0)</f>
        <v>0</v>
      </c>
      <c r="BA213" s="160">
        <f>IF($C213&gt;0,(IF($C213=$BA$7,(-FV(InflationRate,$BA$7,,$D213)),0)),0)</f>
        <v>0</v>
      </c>
      <c r="BB213" s="150">
        <f>IF($C213&gt;0,(IF($BA$7&gt;=$C213+1, (-FV(InflationRate,$BA$7,,$E213)), 0)),0)</f>
        <v>0</v>
      </c>
      <c r="BC213" s="150">
        <f>IF($C213&gt;0,(IF($BA$7&gt;=$C213+1, (-FV(InflationRate,$BA$7,,$F213)), 0)),0)</f>
        <v>0</v>
      </c>
      <c r="BD213" s="176">
        <f>IF($C213&gt;0,(IF($BA$7&gt;=$C213+1, (-FV(InflationRate,$BA$7,,$G213)), 0)),0)</f>
        <v>0</v>
      </c>
      <c r="BE213" s="168">
        <f>IF($C213&gt;0,(IF($C213=$BE$7,(-FV(InflationRate,$BE$7,,$D213)),0)),0)</f>
        <v>0</v>
      </c>
      <c r="BF213" s="149">
        <f>IF($C213&gt;0,(IF($BE$7&gt;=$C213+1, (-FV(InflationRate,$BE$7,,$E213)), 0)),0)</f>
        <v>0</v>
      </c>
      <c r="BG213" s="149">
        <f>IF($C213&gt;0,(IF($BE$7&gt;=$C213+1, (-FV(InflationRate,$BE$7,,$F213)), 0)),0)</f>
        <v>0</v>
      </c>
      <c r="BH213" s="171">
        <f>IF($C213&gt;0,(IF($BE$7&gt;=$C213+1, (-FV(InflationRate,$BE$7,,$G213)), 0)),0)</f>
        <v>0</v>
      </c>
      <c r="BI213" s="160">
        <f>IF($C213&gt;0,(IF($C213=$BI$7,(-FV(InflationRate,$BI$7,,$D213)),0)),0)</f>
        <v>0</v>
      </c>
      <c r="BJ213" s="150">
        <f>IF($C213&gt;0,(IF($BI$7&gt;=$C213+1, (-FV(InflationRate,$BI$7,,$E213)), 0)),0)</f>
        <v>0</v>
      </c>
      <c r="BK213" s="150">
        <f>IF($C213&gt;0,(IF($BI$7&gt;=$C213+1, (-FV(InflationRate,$BI$7,,$F213)), 0)),0)</f>
        <v>0</v>
      </c>
      <c r="BL213" s="176">
        <f>IF($C213&gt;0,(IF($BI$7&gt;=$C213+1, (-FV(InflationRate,$BI$7,,$G213)), 0)),0)</f>
        <v>0</v>
      </c>
      <c r="BM213" s="168">
        <f>IF($C213&gt;0,(IF($C213=$BM$7,(-FV(InflationRate,$BM$7,,$D213)),0)),0)</f>
        <v>0</v>
      </c>
      <c r="BN213" s="149">
        <f>IF($C213&gt;0,(IF($BM$7&gt;=$C213+1, (-FV(InflationRate,$BM$7,,$E213)), 0)),0)</f>
        <v>0</v>
      </c>
      <c r="BO213" s="149">
        <f>IF($C213&gt;0,(IF($BM$7&gt;=$C213+1, (-FV(InflationRate,$BM$7,,$F213)), 0)),0)</f>
        <v>0</v>
      </c>
      <c r="BP213" s="157">
        <f>IF($C213&gt;0,(IF($BM$7&gt;=$C213+1, (-FV(InflationRate,$BM$7,,$G213)), 0)),0)</f>
        <v>0</v>
      </c>
      <c r="BQ213" s="160">
        <f>IF($C213&gt;0,(IF($C213=$BQ$7,(-FV(InflationRate,$BQ$7,,$D213)),0)),0)</f>
        <v>0</v>
      </c>
      <c r="BR213" s="150">
        <f>IF($C213&gt;0,(IF($BQ$7&gt;=$C213+1, (-FV(InflationRate,$BQ$7,,$E213)), 0)),0)</f>
        <v>0</v>
      </c>
      <c r="BS213" s="150">
        <f>IF($C213&gt;0,(IF($BQ$7&gt;=$C213+1, (-FV(InflationRate,$BQ$7,,$F213)), 0)),0)</f>
        <v>0</v>
      </c>
      <c r="BT213" s="176">
        <f>IF($C213&gt;0,(IF($BQ$7&gt;=$C213+1, (-FV(InflationRate,$BQ$7,,$G213)), 0)),0)</f>
        <v>0</v>
      </c>
      <c r="BU213" s="168">
        <f>IF($C213&gt;0,(IF($C213=$BU$7,(-FV(InflationRate,$BU$7,,$D213)),0)),0)</f>
        <v>0</v>
      </c>
      <c r="BV213" s="149">
        <f>IF($C213&gt;0,(IF($BU$7&gt;=$C213+1, (-FV(InflationRate,$BU$7,,$E213)), 0)),0)</f>
        <v>0</v>
      </c>
      <c r="BW213" s="149">
        <f>IF($C213&gt;0,(IF($BU$7&gt;=$C213+1, (-FV(InflationRate,$BU$7,,$F213)), 0)),0)</f>
        <v>0</v>
      </c>
      <c r="BX213" s="157">
        <f>IF($C213&gt;0,(IF($BU$7&gt;=$C213+1, (-FV(InflationRate,$BU$7,,$G213)), 0)),0)</f>
        <v>0</v>
      </c>
      <c r="BY213" s="160">
        <f>IF($C213&gt;0,(IF($C213=$BY$7,(-FV(InflationRate,$BY$7,,$D213)),0)),0)</f>
        <v>0</v>
      </c>
      <c r="BZ213" s="150">
        <f>IF($C213&gt;0,(IF($BY$7&gt;=$C213+1, (-FV(InflationRate,$BY$7,,$E213)), 0)),0)</f>
        <v>0</v>
      </c>
      <c r="CA213" s="150">
        <f>IF($C213&gt;0,(IF($BY$7&gt;=$C213+1, (-FV(InflationRate,$BY$7,,$F213)), 0)),0)</f>
        <v>0</v>
      </c>
      <c r="CB213" s="176">
        <f>IF($C213&gt;0,(IF($BY$7&gt;=$C213+1, (-FV(InflationRate,$BY$7,,$G213)), 0)),0)</f>
        <v>0</v>
      </c>
      <c r="CC213" s="168">
        <f>IF($C213&gt;0,(IF($C213=$CC$7,(-FV(InflationRate,$CC$7,,$D213)),0)),0)</f>
        <v>0</v>
      </c>
      <c r="CD213" s="149">
        <f>IF($C213&gt;0,(IF($CC$7&gt;=$C213+1, (-FV(InflationRate,$CC$7,,$E213)), 0)),0)</f>
        <v>0</v>
      </c>
      <c r="CE213" s="149">
        <f>IF($C213&gt;0,(IF($CC$7&gt;=$C213+1, (-FV(InflationRate,$CC$7,,$F213)), 0)),0)</f>
        <v>0</v>
      </c>
      <c r="CF213" s="157">
        <f>IF($C213&gt;0,(IF($CC$7&gt;=$C213+1, (-FV(InflationRate,$CC$7,,$G213)), 0)),0)</f>
        <v>0</v>
      </c>
      <c r="CG213" s="160">
        <f>IF($C213&gt;0,(IF($C213=$CG$7,(-FV(InflationRate,$CG$7,,$D213)),0)),0)</f>
        <v>0</v>
      </c>
      <c r="CH213" s="150">
        <f>IF($C213&gt;0,(IF($CG$7&gt;=$C213+1, (-FV(InflationRate,$CG$7,,$E213)), 0)),0)</f>
        <v>0</v>
      </c>
      <c r="CI213" s="150">
        <f>IF($C213&gt;0,(IF($CG$7&gt;=$C213+1, (-FV(InflationRate,$CG$7,,$F213)), 0)),0)</f>
        <v>0</v>
      </c>
      <c r="CJ213" s="176">
        <f>IF($C213&gt;0,(IF($CG$7&gt;=$C213+1, (-FV(InflationRate,$CG$7,,$G213)), 0)),0)</f>
        <v>0</v>
      </c>
      <c r="CK213" s="168">
        <f>IF($C213&gt;0,(IF($C213=$CK$7,(-FV(InflationRate,$CK$7,,$D213)),0)),0)</f>
        <v>0</v>
      </c>
      <c r="CL213" s="149">
        <f>IF($C213&gt;0,(IF($CK$7&gt;=$C213+1, (-FV(InflationRate,$CK$7,,$E213)), 0)),0)</f>
        <v>0</v>
      </c>
      <c r="CM213" s="149">
        <f>IF($C213&gt;0,(IF($CK$7&gt;=$C213+1, (-FV(InflationRate,$CK$7,,$F213)), 0)),0)</f>
        <v>0</v>
      </c>
      <c r="CN213" s="157">
        <f>IF($C213&gt;0,(IF($CK$7&gt;=$C213+1, (-FV(InflationRate,$CK$7,,$G213)), 0)),0)</f>
        <v>0</v>
      </c>
      <c r="CO213" s="160">
        <f>IF($C213&gt;0,(IF($C213=$CO$7,(-FV(InflationRate,$CO$7,,$D213)),0)),0)</f>
        <v>0</v>
      </c>
      <c r="CP213" s="150">
        <f>IF($C213&gt;0,(IF($CO$7&gt;=$C213+1, (-FV(InflationRate,$CO$7,,$E213)), 0)),0)</f>
        <v>0</v>
      </c>
      <c r="CQ213" s="150">
        <f>IF($C213&gt;0,(IF($CO$7&gt;=$C213+1, (-FV(InflationRate,$CO$7,,$F213)), 0)),0)</f>
        <v>0</v>
      </c>
      <c r="CR213" s="176">
        <f>IF($C213&gt;0,(IF($CO$7&gt;=$C213+1, (-FV(InflationRate,$CO$7,,$G213)), 0)),0)</f>
        <v>0</v>
      </c>
      <c r="CS213" s="168">
        <f>IF($C213&gt;0,(IF($C213=$CS$7,(-FV(InflationRate,$CS$7,,$D213)),0)),0)</f>
        <v>0</v>
      </c>
      <c r="CT213" s="149">
        <f>IF($C213&gt;0,(IF($CS$7&gt;=$C213+1, (-FV(InflationRate,$CS$7,,$E213)), 0)),0)</f>
        <v>0</v>
      </c>
      <c r="CU213" s="149">
        <f>IF($C213&gt;0,(IF($CS$7&gt;=$C213+1, (-FV(InflationRate,$CS$7,,$F213)), 0)),0)</f>
        <v>0</v>
      </c>
      <c r="CV213" s="157">
        <f>IF($C213&gt;0,(IF($CS$7&gt;=$C213+1, (-FV(InflationRate,$CS$7,,$G213)), 0)),0)</f>
        <v>0</v>
      </c>
      <c r="CW213" s="160">
        <f>IF($C213&gt;0,(IF($C213=$CW$7,(-FV(InflationRate,$CW$7,,$D213)),0)),0)</f>
        <v>0</v>
      </c>
      <c r="CX213" s="150">
        <f>IF($C213&gt;0,(IF($CW$7&gt;=$C213+1, (-FV(InflationRate,$CW$7,,$E213)), 0)),0)</f>
        <v>0</v>
      </c>
      <c r="CY213" s="150">
        <f>IF($C213&gt;0,(IF($CW$7&gt;=$C213+1, (-FV(InflationRate,$CW$7,,$F213)), 0)),0)</f>
        <v>0</v>
      </c>
      <c r="CZ213" s="176">
        <f>IF($C213&gt;0,(IF($CW$7&gt;=$C213+1, (-FV(InflationRate,$CW$7,,$G213)), 0)),0)</f>
        <v>0</v>
      </c>
      <c r="DA213" s="168">
        <f>IF($C213&gt;0,(IF($C213=$DA$7,(-FV(InflationRate,$DA$7,,$D213)),0)),0)</f>
        <v>0</v>
      </c>
      <c r="DB213" s="149">
        <f>IF($C213&gt;0,(IF($DA$7&gt;=$C213+1, (-FV(InflationRate,$DA$7,,$E213)), 0)),0)</f>
        <v>0</v>
      </c>
      <c r="DC213" s="149">
        <f>IF($C213&gt;0,(IF($DA$7&gt;=$C213+1, (-FV(InflationRate,$DA$7,,$F213)), 0)),0)</f>
        <v>0</v>
      </c>
      <c r="DD213" s="157">
        <f>IF($C213&gt;0,(IF($DA$7&gt;=$C213+1, (-FV(InflationRate,$DA$7,,$G213)), 0)),0)</f>
        <v>0</v>
      </c>
    </row>
    <row r="214" spans="2:108" x14ac:dyDescent="0.2">
      <c r="B214" s="183" t="s">
        <v>270</v>
      </c>
      <c r="C214" s="556">
        <v>6</v>
      </c>
      <c r="D214" s="168">
        <f>D212-D213</f>
        <v>2829100</v>
      </c>
      <c r="E214" s="149">
        <f>E212</f>
        <v>0</v>
      </c>
      <c r="F214" s="149"/>
      <c r="G214" s="149">
        <f>G212</f>
        <v>455000</v>
      </c>
      <c r="H214" s="168">
        <f>SUM(I214:AB214)</f>
        <v>10868154.034639865</v>
      </c>
      <c r="I214" s="610">
        <f>-PV(InterestRate,I$8,,(SUM(AC214:AF214)))</f>
        <v>0</v>
      </c>
      <c r="J214" s="610">
        <f>-PV(InterestRate,J$8,,(SUM(AG214:AJ214)))</f>
        <v>0</v>
      </c>
      <c r="K214" s="610">
        <f>-PV(InterestRate,K$8,,(SUM(AK214:AN214)))</f>
        <v>0</v>
      </c>
      <c r="L214" s="610">
        <f>-PV(InterestRate,L$8,,(SUM(AO214:AR214)))</f>
        <v>0</v>
      </c>
      <c r="M214" s="610">
        <f>-PV(InterestRate,M$8,,(SUM(AS214:AV214)))</f>
        <v>0</v>
      </c>
      <c r="N214" s="610">
        <f>-PV(InterestRate,N$8,,(SUM(AW214:AZ214)))</f>
        <v>3089408.9007689045</v>
      </c>
      <c r="O214" s="610">
        <f>-PV(InterestRate,O$8,,(SUM(BA214:BD214)))</f>
        <v>504207.93235445465</v>
      </c>
      <c r="P214" s="610">
        <f>-PV(InterestRate,P$8,,(SUM(BE214:BH214)))</f>
        <v>511659.28110846138</v>
      </c>
      <c r="Q214" s="610">
        <f>-PV(InterestRate,Q$8,,(SUM(BI214:BL214)))</f>
        <v>519220.74831696087</v>
      </c>
      <c r="R214" s="610">
        <f>-PV(InterestRate,R$8,,(SUM(BM214:BP214)))</f>
        <v>526893.96134627564</v>
      </c>
      <c r="S214" s="610">
        <f>-PV(InterestRate,S$8,,(SUM(BQ214:BT214)))</f>
        <v>534680.57161247684</v>
      </c>
      <c r="T214" s="610">
        <f>-PV(InterestRate,T$8,,(SUM(BU214:BX214)))</f>
        <v>542582.25493679906</v>
      </c>
      <c r="U214" s="610">
        <f>-PV(InterestRate,U$8,,(SUM(BY214:CB214)))</f>
        <v>550600.71190630854</v>
      </c>
      <c r="V214" s="610">
        <f>-PV(InterestRate,V$8,,(SUM(CC214:CF214)))</f>
        <v>558737.66823989956</v>
      </c>
      <c r="W214" s="610">
        <f>-PV(InterestRate,W$8,,(SUM(CG214:CJ214)))</f>
        <v>566994.8751597011</v>
      </c>
      <c r="X214" s="610">
        <f>-PV(InterestRate,X$8,,(SUM(CK214:CN214)))</f>
        <v>575374.10976797249</v>
      </c>
      <c r="Y214" s="610">
        <f>-PV(InterestRate,Y$8,,(SUM(CO214:CR214)))</f>
        <v>583877.17542956816</v>
      </c>
      <c r="Z214" s="610">
        <f>-PV(InterestRate,Z$8,,(SUM(CS214:CV214)))</f>
        <v>592505.90216005442</v>
      </c>
      <c r="AA214" s="610">
        <f>-PV(InterestRate,AA$8,,(SUM(CW214:CZ214)))</f>
        <v>601262.14701956266</v>
      </c>
      <c r="AB214" s="611">
        <f>-PV(InterestRate,AB$8,,(SUM(DA214:DD214)))</f>
        <v>610147.7945124628</v>
      </c>
      <c r="AC214" s="160"/>
      <c r="AD214" s="150"/>
      <c r="AE214" s="150"/>
      <c r="AF214" s="165"/>
      <c r="AG214" s="168"/>
      <c r="AH214" s="149"/>
      <c r="AI214" s="149"/>
      <c r="AJ214" s="171"/>
      <c r="AK214" s="160"/>
      <c r="AL214" s="150"/>
      <c r="AM214" s="150"/>
      <c r="AN214" s="165"/>
      <c r="AO214" s="168">
        <f>IF($C214&gt;0,(IF($C214=$AO$7,(-FV(InflationRate,$AO$7,,$D214)),0)),0)</f>
        <v>0</v>
      </c>
      <c r="AP214" s="149">
        <f>IF($C214&gt;0,(IF($AO$7&gt;=$C214+1, (-FV(InflationRate,$AO$7,,$E214)), 0)),0)</f>
        <v>0</v>
      </c>
      <c r="AQ214" s="149">
        <f>IF($C214&gt;0,(IF($AO$7&gt;=$C214+1, (-FV(InflationRate,$AO$7,,$F214)), 0)),0)</f>
        <v>0</v>
      </c>
      <c r="AR214" s="157">
        <f>IF($C214&gt;0,(IF($AO$7&gt;=$C214+1, (-FV(InflationRate,$AO$7,,$G214)), 0)),0)</f>
        <v>0</v>
      </c>
      <c r="AS214" s="160">
        <f>IF($C214&gt;0,(IF($C214=$AS$7,(-FV(InflationRate,$AS$7,,$D214)),0)),0)</f>
        <v>0</v>
      </c>
      <c r="AT214" s="150">
        <f>IF($C214&gt;0,(IF($AS$7&gt;=$C214+1, (-FV(InflationRate,$AS$7,,$E214)), 0)),0)</f>
        <v>0</v>
      </c>
      <c r="AU214" s="150">
        <f>IF($C214&gt;0,(IF($AS$7&gt;=$C214+1, (-FV(InflationRate,$AS$7,,$F214)), 0)),0)</f>
        <v>0</v>
      </c>
      <c r="AV214" s="165">
        <f>IF($C214&gt;0,(IF($AS$7&gt;=$C214+1, (-FV(InflationRate,$AS$7,,$G214)), 0)),0)</f>
        <v>0</v>
      </c>
      <c r="AW214" s="168">
        <f>IF($C214&gt;0,(IF($C214=$AW$7,(-FV(InflationRate,$AW$7,,$D214)),0)),0)</f>
        <v>3378093.3521101936</v>
      </c>
      <c r="AX214" s="149">
        <f>IF($C214&gt;0,(IF($AW$7&gt;=$C214+1, (-FV(InflationRate,$AW$7,,$E214)), 0)),0)</f>
        <v>0</v>
      </c>
      <c r="AY214" s="149">
        <f>IF($C214&gt;0,(IF($AW$7&gt;=$C214+1, (-FV(InflationRate,$AW$7,,$F214)), 0)),0)</f>
        <v>0</v>
      </c>
      <c r="AZ214" s="157">
        <f>IF($C214&gt;0,(IF($AW$7&gt;=$C214+1, (-FV(InflationRate,$AW$7,,$G214)), 0)),0)</f>
        <v>0</v>
      </c>
      <c r="BA214" s="160">
        <f>IF($C214&gt;0,(IF($C214=$BA$7,(-FV(InflationRate,$BA$7,,$D214)),0)),0)</f>
        <v>0</v>
      </c>
      <c r="BB214" s="150">
        <f>IF($C214&gt;0,(IF($BA$7&gt;=$C214+1, (-FV(InflationRate,$BA$7,,$E214)), 0)),0)</f>
        <v>0</v>
      </c>
      <c r="BC214" s="150">
        <f>IF($C214&gt;0,(IF($BA$7&gt;=$C214+1, (-FV(InflationRate,$BA$7,,$F214)), 0)),0)</f>
        <v>0</v>
      </c>
      <c r="BD214" s="176">
        <f>IF($C214&gt;0,(IF($BA$7&gt;=$C214+1, (-FV(InflationRate,$BA$7,,$G214)), 0)),0)</f>
        <v>559592.60876831587</v>
      </c>
      <c r="BE214" s="168">
        <f>IF($C214&gt;0,(IF($C214=$BE$7,(-FV(InflationRate,$BE$7,,$D214)),0)),0)</f>
        <v>0</v>
      </c>
      <c r="BF214" s="149">
        <f>IF($C214&gt;0,(IF($BE$7&gt;=$C214+1, (-FV(InflationRate,$BE$7,,$E214)), 0)),0)</f>
        <v>0</v>
      </c>
      <c r="BG214" s="149">
        <f>IF($C214&gt;0,(IF($BE$7&gt;=$C214+1, (-FV(InflationRate,$BE$7,,$F214)), 0)),0)</f>
        <v>0</v>
      </c>
      <c r="BH214" s="171">
        <f>IF($C214&gt;0,(IF($BE$7&gt;=$C214+1, (-FV(InflationRate,$BE$7,,$G214)), 0)),0)</f>
        <v>576380.3870313653</v>
      </c>
      <c r="BI214" s="160">
        <f>IF($C214&gt;0,(IF($C214=$BI$7,(-FV(InflationRate,$BI$7,,$D214)),0)),0)</f>
        <v>0</v>
      </c>
      <c r="BJ214" s="150">
        <f>IF($C214&gt;0,(IF($BI$7&gt;=$C214+1, (-FV(InflationRate,$BI$7,,$E214)), 0)),0)</f>
        <v>0</v>
      </c>
      <c r="BK214" s="150">
        <f>IF($C214&gt;0,(IF($BI$7&gt;=$C214+1, (-FV(InflationRate,$BI$7,,$F214)), 0)),0)</f>
        <v>0</v>
      </c>
      <c r="BL214" s="176">
        <f>IF($C214&gt;0,(IF($BI$7&gt;=$C214+1, (-FV(InflationRate,$BI$7,,$G214)), 0)),0)</f>
        <v>593671.79864230624</v>
      </c>
      <c r="BM214" s="168">
        <f>IF($C214&gt;0,(IF($C214=$BM$7,(-FV(InflationRate,$BM$7,,$D214)),0)),0)</f>
        <v>0</v>
      </c>
      <c r="BN214" s="149">
        <f>IF($C214&gt;0,(IF($BM$7&gt;=$C214+1, (-FV(InflationRate,$BM$7,,$E214)), 0)),0)</f>
        <v>0</v>
      </c>
      <c r="BO214" s="149">
        <f>IF($C214&gt;0,(IF($BM$7&gt;=$C214+1, (-FV(InflationRate,$BM$7,,$F214)), 0)),0)</f>
        <v>0</v>
      </c>
      <c r="BP214" s="157">
        <f>IF($C214&gt;0,(IF($BM$7&gt;=$C214+1, (-FV(InflationRate,$BM$7,,$G214)), 0)),0)</f>
        <v>611481.95260157541</v>
      </c>
      <c r="BQ214" s="160">
        <f>IF($C214&gt;0,(IF($C214=$BQ$7,(-FV(InflationRate,$BQ$7,,$D214)),0)),0)</f>
        <v>0</v>
      </c>
      <c r="BR214" s="150">
        <f>IF($C214&gt;0,(IF($BQ$7&gt;=$C214+1, (-FV(InflationRate,$BQ$7,,$E214)), 0)),0)</f>
        <v>0</v>
      </c>
      <c r="BS214" s="150">
        <f>IF($C214&gt;0,(IF($BQ$7&gt;=$C214+1, (-FV(InflationRate,$BQ$7,,$F214)), 0)),0)</f>
        <v>0</v>
      </c>
      <c r="BT214" s="176">
        <f>IF($C214&gt;0,(IF($BQ$7&gt;=$C214+1, (-FV(InflationRate,$BQ$7,,$G214)), 0)),0)</f>
        <v>629826.41117962275</v>
      </c>
      <c r="BU214" s="168">
        <f>IF($C214&gt;0,(IF($C214=$BU$7,(-FV(InflationRate,$BU$7,,$D214)),0)),0)</f>
        <v>0</v>
      </c>
      <c r="BV214" s="149">
        <f>IF($C214&gt;0,(IF($BU$7&gt;=$C214+1, (-FV(InflationRate,$BU$7,,$E214)), 0)),0)</f>
        <v>0</v>
      </c>
      <c r="BW214" s="149">
        <f>IF($C214&gt;0,(IF($BU$7&gt;=$C214+1, (-FV(InflationRate,$BU$7,,$F214)), 0)),0)</f>
        <v>0</v>
      </c>
      <c r="BX214" s="157">
        <f>IF($C214&gt;0,(IF($BU$7&gt;=$C214+1, (-FV(InflationRate,$BU$7,,$G214)), 0)),0)</f>
        <v>648721.20351501124</v>
      </c>
      <c r="BY214" s="160">
        <f>IF($C214&gt;0,(IF($C214=$BY$7,(-FV(InflationRate,$BY$7,,$D214)),0)),0)</f>
        <v>0</v>
      </c>
      <c r="BZ214" s="150">
        <f>IF($C214&gt;0,(IF($BY$7&gt;=$C214+1, (-FV(InflationRate,$BY$7,,$E214)), 0)),0)</f>
        <v>0</v>
      </c>
      <c r="CA214" s="150">
        <f>IF($C214&gt;0,(IF($BY$7&gt;=$C214+1, (-FV(InflationRate,$BY$7,,$F214)), 0)),0)</f>
        <v>0</v>
      </c>
      <c r="CB214" s="176">
        <f>IF($C214&gt;0,(IF($BY$7&gt;=$C214+1, (-FV(InflationRate,$BY$7,,$G214)), 0)),0)</f>
        <v>668182.83962046157</v>
      </c>
      <c r="CC214" s="168">
        <f>IF($C214&gt;0,(IF($C214=$CC$7,(-FV(InflationRate,$CC$7,,$D214)),0)),0)</f>
        <v>0</v>
      </c>
      <c r="CD214" s="149">
        <f>IF($C214&gt;0,(IF($CC$7&gt;=$C214+1, (-FV(InflationRate,$CC$7,,$E214)), 0)),0)</f>
        <v>0</v>
      </c>
      <c r="CE214" s="149">
        <f>IF($C214&gt;0,(IF($CC$7&gt;=$C214+1, (-FV(InflationRate,$CC$7,,$F214)), 0)),0)</f>
        <v>0</v>
      </c>
      <c r="CF214" s="157">
        <f>IF($C214&gt;0,(IF($CC$7&gt;=$C214+1, (-FV(InflationRate,$CC$7,,$G214)), 0)),0)</f>
        <v>688228.32480907557</v>
      </c>
      <c r="CG214" s="160">
        <f>IF($C214&gt;0,(IF($C214=$CG$7,(-FV(InflationRate,$CG$7,,$D214)),0)),0)</f>
        <v>0</v>
      </c>
      <c r="CH214" s="150">
        <f>IF($C214&gt;0,(IF($CG$7&gt;=$C214+1, (-FV(InflationRate,$CG$7,,$E214)), 0)),0)</f>
        <v>0</v>
      </c>
      <c r="CI214" s="150">
        <f>IF($C214&gt;0,(IF($CG$7&gt;=$C214+1, (-FV(InflationRate,$CG$7,,$F214)), 0)),0)</f>
        <v>0</v>
      </c>
      <c r="CJ214" s="176">
        <f>IF($C214&gt;0,(IF($CG$7&gt;=$C214+1, (-FV(InflationRate,$CG$7,,$G214)), 0)),0)</f>
        <v>708875.17455334787</v>
      </c>
      <c r="CK214" s="168">
        <f>IF($C214&gt;0,(IF($C214=$CK$7,(-FV(InflationRate,$CK$7,,$D214)),0)),0)</f>
        <v>0</v>
      </c>
      <c r="CL214" s="149">
        <f>IF($C214&gt;0,(IF($CK$7&gt;=$C214+1, (-FV(InflationRate,$CK$7,,$E214)), 0)),0)</f>
        <v>0</v>
      </c>
      <c r="CM214" s="149">
        <f>IF($C214&gt;0,(IF($CK$7&gt;=$C214+1, (-FV(InflationRate,$CK$7,,$F214)), 0)),0)</f>
        <v>0</v>
      </c>
      <c r="CN214" s="157">
        <f>IF($C214&gt;0,(IF($CK$7&gt;=$C214+1, (-FV(InflationRate,$CK$7,,$G214)), 0)),0)</f>
        <v>730141.42978994816</v>
      </c>
      <c r="CO214" s="160">
        <f>IF($C214&gt;0,(IF($C214=$CO$7,(-FV(InflationRate,$CO$7,,$D214)),0)),0)</f>
        <v>0</v>
      </c>
      <c r="CP214" s="150">
        <f>IF($C214&gt;0,(IF($CO$7&gt;=$C214+1, (-FV(InflationRate,$CO$7,,$E214)), 0)),0)</f>
        <v>0</v>
      </c>
      <c r="CQ214" s="150">
        <f>IF($C214&gt;0,(IF($CO$7&gt;=$C214+1, (-FV(InflationRate,$CO$7,,$F214)), 0)),0)</f>
        <v>0</v>
      </c>
      <c r="CR214" s="176">
        <f>IF($C214&gt;0,(IF($CO$7&gt;=$C214+1, (-FV(InflationRate,$CO$7,,$G214)), 0)),0)</f>
        <v>752045.67268364655</v>
      </c>
      <c r="CS214" s="168">
        <f>IF($C214&gt;0,(IF($C214=$CS$7,(-FV(InflationRate,$CS$7,,$D214)),0)),0)</f>
        <v>0</v>
      </c>
      <c r="CT214" s="149">
        <f>IF($C214&gt;0,(IF($CS$7&gt;=$C214+1, (-FV(InflationRate,$CS$7,,$E214)), 0)),0)</f>
        <v>0</v>
      </c>
      <c r="CU214" s="149">
        <f>IF($C214&gt;0,(IF($CS$7&gt;=$C214+1, (-FV(InflationRate,$CS$7,,$F214)), 0)),0)</f>
        <v>0</v>
      </c>
      <c r="CV214" s="157">
        <f>IF($C214&gt;0,(IF($CS$7&gt;=$C214+1, (-FV(InflationRate,$CS$7,,$G214)), 0)),0)</f>
        <v>774607.04286415596</v>
      </c>
      <c r="CW214" s="160">
        <f>IF($C214&gt;0,(IF($C214=$CW$7,(-FV(InflationRate,$CW$7,,$D214)),0)),0)</f>
        <v>0</v>
      </c>
      <c r="CX214" s="150">
        <f>IF($C214&gt;0,(IF($CW$7&gt;=$C214+1, (-FV(InflationRate,$CW$7,,$E214)), 0)),0)</f>
        <v>0</v>
      </c>
      <c r="CY214" s="150">
        <f>IF($C214&gt;0,(IF($CW$7&gt;=$C214+1, (-FV(InflationRate,$CW$7,,$F214)), 0)),0)</f>
        <v>0</v>
      </c>
      <c r="CZ214" s="176">
        <f>IF($C214&gt;0,(IF($CW$7&gt;=$C214+1, (-FV(InflationRate,$CW$7,,$G214)), 0)),0)</f>
        <v>797845.25415008061</v>
      </c>
      <c r="DA214" s="168">
        <f>IF($C214&gt;0,(IF($C214=$DA$7,(-FV(InflationRate,$DA$7,,$D214)),0)),0)</f>
        <v>0</v>
      </c>
      <c r="DB214" s="149">
        <f>IF($C214&gt;0,(IF($DA$7&gt;=$C214+1, (-FV(InflationRate,$DA$7,,$E214)), 0)),0)</f>
        <v>0</v>
      </c>
      <c r="DC214" s="149">
        <f>IF($C214&gt;0,(IF($DA$7&gt;=$C214+1, (-FV(InflationRate,$DA$7,,$F214)), 0)),0)</f>
        <v>0</v>
      </c>
      <c r="DD214" s="157">
        <f>IF($C214&gt;0,(IF($DA$7&gt;=$C214+1, (-FV(InflationRate,$DA$7,,$G214)), 0)),0)</f>
        <v>821780.611774583</v>
      </c>
    </row>
    <row r="215" spans="2:108" x14ac:dyDescent="0.2">
      <c r="B215" s="183" t="s">
        <v>203</v>
      </c>
      <c r="C215" s="556">
        <v>7</v>
      </c>
      <c r="D215" s="168"/>
      <c r="E215" s="149"/>
      <c r="F215" s="149">
        <f>F212</f>
        <v>85300</v>
      </c>
      <c r="G215" s="149"/>
      <c r="H215" s="168">
        <f>SUM(I215:AB215)</f>
        <v>1363775.875361226</v>
      </c>
      <c r="I215" s="610">
        <f>-PV(InterestRate,I$8,,(SUM(AC215:AF215)))</f>
        <v>0</v>
      </c>
      <c r="J215" s="610">
        <f>-PV(InterestRate,J$8,,(SUM(AG215:AJ215)))</f>
        <v>0</v>
      </c>
      <c r="K215" s="610">
        <f>-PV(InterestRate,K$8,,(SUM(AK215:AN215)))</f>
        <v>0</v>
      </c>
      <c r="L215" s="610">
        <f>-PV(InterestRate,L$8,,(SUM(AO215:AR215)))</f>
        <v>0</v>
      </c>
      <c r="M215" s="610">
        <f>-PV(InterestRate,M$8,,(SUM(AS215:AV215)))</f>
        <v>0</v>
      </c>
      <c r="N215" s="610">
        <f>-PV(InterestRate,N$8,,(SUM(AW215:AZ215)))</f>
        <v>0</v>
      </c>
      <c r="O215" s="610">
        <f>-PV(InterestRate,O$8,,(SUM(BA215:BD215)))</f>
        <v>0</v>
      </c>
      <c r="P215" s="610">
        <f>-PV(InterestRate,P$8,,(SUM(BE215:BH215)))</f>
        <v>95922.058634179673</v>
      </c>
      <c r="Q215" s="610">
        <f>-PV(InterestRate,Q$8,,(SUM(BI215:BL215)))</f>
        <v>97339.626003157711</v>
      </c>
      <c r="R215" s="610">
        <f>-PV(InterestRate,R$8,,(SUM(BM215:BP215)))</f>
        <v>98778.142643598476</v>
      </c>
      <c r="S215" s="610">
        <f>-PV(InterestRate,S$8,,(SUM(BQ215:BT215)))</f>
        <v>100237.91815064674</v>
      </c>
      <c r="T215" s="610">
        <f>-PV(InterestRate,T$8,,(SUM(BU215:BX215)))</f>
        <v>101719.26669474499</v>
      </c>
      <c r="U215" s="610">
        <f>-PV(InterestRate,U$8,,(SUM(BY215:CB215)))</f>
        <v>103222.50708924861</v>
      </c>
      <c r="V215" s="610">
        <f>-PV(InterestRate,V$8,,(SUM(CC215:CF215)))</f>
        <v>104747.9628590405</v>
      </c>
      <c r="W215" s="610">
        <f>-PV(InterestRate,W$8,,(SUM(CG215:CJ215)))</f>
        <v>106295.96231015935</v>
      </c>
      <c r="X215" s="610">
        <f>-PV(InterestRate,X$8,,(SUM(CK215:CN215)))</f>
        <v>107866.83860045725</v>
      </c>
      <c r="Y215" s="610">
        <f>-PV(InterestRate,Y$8,,(SUM(CO215:CR215)))</f>
        <v>109460.92981130147</v>
      </c>
      <c r="Z215" s="610">
        <f>-PV(InterestRate,Z$8,,(SUM(CS215:CV215)))</f>
        <v>111078.5790203355</v>
      </c>
      <c r="AA215" s="610">
        <f>-PV(InterestRate,AA$8,,(SUM(CW215:CZ215)))</f>
        <v>112720.13437531581</v>
      </c>
      <c r="AB215" s="611">
        <f>-PV(InterestRate,AB$8,,(SUM(DA215:DD215)))</f>
        <v>114385.94916903974</v>
      </c>
      <c r="AC215" s="160"/>
      <c r="AD215" s="150"/>
      <c r="AE215" s="150"/>
      <c r="AF215" s="165"/>
      <c r="AG215" s="168"/>
      <c r="AH215" s="149"/>
      <c r="AI215" s="149"/>
      <c r="AJ215" s="171"/>
      <c r="AK215" s="160"/>
      <c r="AL215" s="150"/>
      <c r="AM215" s="150"/>
      <c r="AN215" s="165"/>
      <c r="AO215" s="168">
        <f>IF($C215&gt;0,(IF($C215=$AO$7,(-FV(InflationRate,$AO$7,,$D215)),0)),0)</f>
        <v>0</v>
      </c>
      <c r="AP215" s="149">
        <f>IF($C215&gt;0,(IF($AO$7&gt;=$C215+1, (-FV(InflationRate,$AO$7,,$E215)), 0)),0)</f>
        <v>0</v>
      </c>
      <c r="AQ215" s="149">
        <f>IF($C215&gt;0,(IF($AO$7&gt;=$C215+1, (-FV(InflationRate,$AO$7,,$F215)), 0)),0)</f>
        <v>0</v>
      </c>
      <c r="AR215" s="157">
        <f>IF($C215&gt;0,(IF($AO$7&gt;=$C215+1, (-FV(InflationRate,$AO$7,,$G215)), 0)),0)</f>
        <v>0</v>
      </c>
      <c r="AS215" s="160">
        <f>IF($C215&gt;0,(IF($C215=$AS$7,(-FV(InflationRate,$AS$7,,$D215)),0)),0)</f>
        <v>0</v>
      </c>
      <c r="AT215" s="150">
        <f>IF($C215&gt;0,(IF($AS$7&gt;=$C215+1, (-FV(InflationRate,$AS$7,,$E215)), 0)),0)</f>
        <v>0</v>
      </c>
      <c r="AU215" s="150">
        <f>IF($C215&gt;0,(IF($AS$7&gt;=$C215+1, (-FV(InflationRate,$AS$7,,$F215)), 0)),0)</f>
        <v>0</v>
      </c>
      <c r="AV215" s="165">
        <f>IF($C215&gt;0,(IF($AS$7&gt;=$C215+1, (-FV(InflationRate,$AS$7,,$G215)), 0)),0)</f>
        <v>0</v>
      </c>
      <c r="AW215" s="168">
        <f>IF($C215&gt;0,(IF($C215=$AW$7,(-FV(InflationRate,$AW$7,,$D215)),0)),0)</f>
        <v>0</v>
      </c>
      <c r="AX215" s="149">
        <f>IF($C215&gt;0,(IF($AW$7&gt;=$C215+1, (-FV(InflationRate,$AW$7,,$E215)), 0)),0)</f>
        <v>0</v>
      </c>
      <c r="AY215" s="149">
        <f>IF($C215&gt;0,(IF($AW$7&gt;=$C215+1, (-FV(InflationRate,$AW$7,,$F215)), 0)),0)</f>
        <v>0</v>
      </c>
      <c r="AZ215" s="157">
        <f>IF($C215&gt;0,(IF($AW$7&gt;=$C215+1, (-FV(InflationRate,$AW$7,,$G215)), 0)),0)</f>
        <v>0</v>
      </c>
      <c r="BA215" s="160">
        <f>IF($C215&gt;0,(IF($C215=$BA$7,(-FV(InflationRate,$BA$7,,$D215)),0)),0)</f>
        <v>0</v>
      </c>
      <c r="BB215" s="150">
        <f>IF($C215&gt;0,(IF($BA$7&gt;=$C215+1, (-FV(InflationRate,$BA$7,,$E215)), 0)),0)</f>
        <v>0</v>
      </c>
      <c r="BC215" s="150">
        <f>IF($C215&gt;0,(IF($BA$7&gt;=$C215+1, (-FV(InflationRate,$BA$7,,$F215)), 0)),0)</f>
        <v>0</v>
      </c>
      <c r="BD215" s="176">
        <f>IF($C215&gt;0,(IF($BA$7&gt;=$C215+1, (-FV(InflationRate,$BA$7,,$G215)), 0)),0)</f>
        <v>0</v>
      </c>
      <c r="BE215" s="168">
        <f>IF($C215&gt;0,(IF($C215=$BE$7,(-FV(InflationRate,$BE$7,,$D215)),0)),0)</f>
        <v>0</v>
      </c>
      <c r="BF215" s="149">
        <f>IF($C215&gt;0,(IF($BE$7&gt;=$C215+1, (-FV(InflationRate,$BE$7,,$E215)), 0)),0)</f>
        <v>0</v>
      </c>
      <c r="BG215" s="149">
        <f>IF($C215&gt;0,(IF($BE$7&gt;=$C215+1, (-FV(InflationRate,$BE$7,,$F215)), 0)),0)</f>
        <v>108055.48794236364</v>
      </c>
      <c r="BH215" s="171">
        <f>IF($C215&gt;0,(IF($BE$7&gt;=$C215+1, (-FV(InflationRate,$BE$7,,$G215)), 0)),0)</f>
        <v>0</v>
      </c>
      <c r="BI215" s="160">
        <f>IF($C215&gt;0,(IF($C215=$BI$7,(-FV(InflationRate,$BI$7,,$D215)),0)),0)</f>
        <v>0</v>
      </c>
      <c r="BJ215" s="150">
        <f>IF($C215&gt;0,(IF($BI$7&gt;=$C215+1, (-FV(InflationRate,$BI$7,,$E215)), 0)),0)</f>
        <v>0</v>
      </c>
      <c r="BK215" s="150">
        <f>IF($C215&gt;0,(IF($BI$7&gt;=$C215+1, (-FV(InflationRate,$BI$7,,$F215)), 0)),0)</f>
        <v>111297.15258063455</v>
      </c>
      <c r="BL215" s="176">
        <f>IF($C215&gt;0,(IF($BI$7&gt;=$C215+1, (-FV(InflationRate,$BI$7,,$G215)), 0)),0)</f>
        <v>0</v>
      </c>
      <c r="BM215" s="168">
        <f>IF($C215&gt;0,(IF($C215=$BM$7,(-FV(InflationRate,$BM$7,,$D215)),0)),0)</f>
        <v>0</v>
      </c>
      <c r="BN215" s="149">
        <f>IF($C215&gt;0,(IF($BM$7&gt;=$C215+1, (-FV(InflationRate,$BM$7,,$E215)), 0)),0)</f>
        <v>0</v>
      </c>
      <c r="BO215" s="149">
        <f>IF($C215&gt;0,(IF($BM$7&gt;=$C215+1, (-FV(InflationRate,$BM$7,,$F215)), 0)),0)</f>
        <v>114636.06715805359</v>
      </c>
      <c r="BP215" s="157">
        <f>IF($C215&gt;0,(IF($BM$7&gt;=$C215+1, (-FV(InflationRate,$BM$7,,$G215)), 0)),0)</f>
        <v>0</v>
      </c>
      <c r="BQ215" s="160">
        <f>IF($C215&gt;0,(IF($C215=$BQ$7,(-FV(InflationRate,$BQ$7,,$D215)),0)),0)</f>
        <v>0</v>
      </c>
      <c r="BR215" s="150">
        <f>IF($C215&gt;0,(IF($BQ$7&gt;=$C215+1, (-FV(InflationRate,$BQ$7,,$E215)), 0)),0)</f>
        <v>0</v>
      </c>
      <c r="BS215" s="150">
        <f>IF($C215&gt;0,(IF($BQ$7&gt;=$C215+1, (-FV(InflationRate,$BQ$7,,$F215)), 0)),0)</f>
        <v>118075.14917279519</v>
      </c>
      <c r="BT215" s="176">
        <f>IF($C215&gt;0,(IF($BQ$7&gt;=$C215+1, (-FV(InflationRate,$BQ$7,,$G215)), 0)),0)</f>
        <v>0</v>
      </c>
      <c r="BU215" s="168">
        <f>IF($C215&gt;0,(IF($C215=$BU$7,(-FV(InflationRate,$BU$7,,$D215)),0)),0)</f>
        <v>0</v>
      </c>
      <c r="BV215" s="149">
        <f>IF($C215&gt;0,(IF($BU$7&gt;=$C215+1, (-FV(InflationRate,$BU$7,,$E215)), 0)),0)</f>
        <v>0</v>
      </c>
      <c r="BW215" s="149">
        <f>IF($C215&gt;0,(IF($BU$7&gt;=$C215+1, (-FV(InflationRate,$BU$7,,$F215)), 0)),0)</f>
        <v>121617.40364797904</v>
      </c>
      <c r="BX215" s="157">
        <f>IF($C215&gt;0,(IF($BU$7&gt;=$C215+1, (-FV(InflationRate,$BU$7,,$G215)), 0)),0)</f>
        <v>0</v>
      </c>
      <c r="BY215" s="160">
        <f>IF($C215&gt;0,(IF($C215=$BY$7,(-FV(InflationRate,$BY$7,,$D215)),0)),0)</f>
        <v>0</v>
      </c>
      <c r="BZ215" s="150">
        <f>IF($C215&gt;0,(IF($BY$7&gt;=$C215+1, (-FV(InflationRate,$BY$7,,$E215)), 0)),0)</f>
        <v>0</v>
      </c>
      <c r="CA215" s="150">
        <f>IF($C215&gt;0,(IF($BY$7&gt;=$C215+1, (-FV(InflationRate,$BY$7,,$F215)), 0)),0)</f>
        <v>125265.9257574184</v>
      </c>
      <c r="CB215" s="176">
        <f>IF($C215&gt;0,(IF($BY$7&gt;=$C215+1, (-FV(InflationRate,$BY$7,,$G215)), 0)),0)</f>
        <v>0</v>
      </c>
      <c r="CC215" s="168">
        <f>IF($C215&gt;0,(IF($C215=$CC$7,(-FV(InflationRate,$CC$7,,$D215)),0)),0)</f>
        <v>0</v>
      </c>
      <c r="CD215" s="149">
        <f>IF($C215&gt;0,(IF($CC$7&gt;=$C215+1, (-FV(InflationRate,$CC$7,,$E215)), 0)),0)</f>
        <v>0</v>
      </c>
      <c r="CE215" s="149">
        <f>IF($C215&gt;0,(IF($CC$7&gt;=$C215+1, (-FV(InflationRate,$CC$7,,$F215)), 0)),0)</f>
        <v>129023.90353014097</v>
      </c>
      <c r="CF215" s="157">
        <f>IF($C215&gt;0,(IF($CC$7&gt;=$C215+1, (-FV(InflationRate,$CC$7,,$G215)), 0)),0)</f>
        <v>0</v>
      </c>
      <c r="CG215" s="160">
        <f>IF($C215&gt;0,(IF($C215=$CG$7,(-FV(InflationRate,$CG$7,,$D215)),0)),0)</f>
        <v>0</v>
      </c>
      <c r="CH215" s="150">
        <f>IF($C215&gt;0,(IF($CG$7&gt;=$C215+1, (-FV(InflationRate,$CG$7,,$E215)), 0)),0)</f>
        <v>0</v>
      </c>
      <c r="CI215" s="150">
        <f>IF($C215&gt;0,(IF($CG$7&gt;=$C215+1, (-FV(InflationRate,$CG$7,,$F215)), 0)),0)</f>
        <v>132894.62063604521</v>
      </c>
      <c r="CJ215" s="176">
        <f>IF($C215&gt;0,(IF($CG$7&gt;=$C215+1, (-FV(InflationRate,$CG$7,,$G215)), 0)),0)</f>
        <v>0</v>
      </c>
      <c r="CK215" s="168">
        <f>IF($C215&gt;0,(IF($C215=$CK$7,(-FV(InflationRate,$CK$7,,$D215)),0)),0)</f>
        <v>0</v>
      </c>
      <c r="CL215" s="149">
        <f>IF($C215&gt;0,(IF($CK$7&gt;=$C215+1, (-FV(InflationRate,$CK$7,,$E215)), 0)),0)</f>
        <v>0</v>
      </c>
      <c r="CM215" s="149">
        <f>IF($C215&gt;0,(IF($CK$7&gt;=$C215+1, (-FV(InflationRate,$CK$7,,$F215)), 0)),0)</f>
        <v>136881.45925512654</v>
      </c>
      <c r="CN215" s="157">
        <f>IF($C215&gt;0,(IF($CK$7&gt;=$C215+1, (-FV(InflationRate,$CK$7,,$G215)), 0)),0)</f>
        <v>0</v>
      </c>
      <c r="CO215" s="160">
        <f>IF($C215&gt;0,(IF($C215=$CO$7,(-FV(InflationRate,$CO$7,,$D215)),0)),0)</f>
        <v>0</v>
      </c>
      <c r="CP215" s="150">
        <f>IF($C215&gt;0,(IF($CO$7&gt;=$C215+1, (-FV(InflationRate,$CO$7,,$E215)), 0)),0)</f>
        <v>0</v>
      </c>
      <c r="CQ215" s="150">
        <f>IF($C215&gt;0,(IF($CO$7&gt;=$C215+1, (-FV(InflationRate,$CO$7,,$F215)), 0)),0)</f>
        <v>140987.90303278033</v>
      </c>
      <c r="CR215" s="176">
        <f>IF($C215&gt;0,(IF($CO$7&gt;=$C215+1, (-FV(InflationRate,$CO$7,,$G215)), 0)),0)</f>
        <v>0</v>
      </c>
      <c r="CS215" s="168">
        <f>IF($C215&gt;0,(IF($C215=$CS$7,(-FV(InflationRate,$CS$7,,$D215)),0)),0)</f>
        <v>0</v>
      </c>
      <c r="CT215" s="149">
        <f>IF($C215&gt;0,(IF($CS$7&gt;=$C215+1, (-FV(InflationRate,$CS$7,,$E215)), 0)),0)</f>
        <v>0</v>
      </c>
      <c r="CU215" s="149">
        <f>IF($C215&gt;0,(IF($CS$7&gt;=$C215+1, (-FV(InflationRate,$CS$7,,$F215)), 0)),0)</f>
        <v>145217.54012376376</v>
      </c>
      <c r="CV215" s="157">
        <f>IF($C215&gt;0,(IF($CS$7&gt;=$C215+1, (-FV(InflationRate,$CS$7,,$G215)), 0)),0)</f>
        <v>0</v>
      </c>
      <c r="CW215" s="160">
        <f>IF($C215&gt;0,(IF($C215=$CW$7,(-FV(InflationRate,$CW$7,,$D215)),0)),0)</f>
        <v>0</v>
      </c>
      <c r="CX215" s="150">
        <f>IF($C215&gt;0,(IF($CW$7&gt;=$C215+1, (-FV(InflationRate,$CW$7,,$E215)), 0)),0)</f>
        <v>0</v>
      </c>
      <c r="CY215" s="150">
        <f>IF($C215&gt;0,(IF($CW$7&gt;=$C215+1, (-FV(InflationRate,$CW$7,,$F215)), 0)),0)</f>
        <v>149574.06632747664</v>
      </c>
      <c r="CZ215" s="176">
        <f>IF($C215&gt;0,(IF($CW$7&gt;=$C215+1, (-FV(InflationRate,$CW$7,,$G215)), 0)),0)</f>
        <v>0</v>
      </c>
      <c r="DA215" s="168">
        <f>IF($C215&gt;0,(IF($C215=$DA$7,(-FV(InflationRate,$DA$7,,$D215)),0)),0)</f>
        <v>0</v>
      </c>
      <c r="DB215" s="149">
        <f>IF($C215&gt;0,(IF($DA$7&gt;=$C215+1, (-FV(InflationRate,$DA$7,,$E215)), 0)),0)</f>
        <v>0</v>
      </c>
      <c r="DC215" s="149">
        <f>IF($C215&gt;0,(IF($DA$7&gt;=$C215+1, (-FV(InflationRate,$DA$7,,$F215)), 0)),0)</f>
        <v>154061.28831730096</v>
      </c>
      <c r="DD215" s="157">
        <f>IF($C215&gt;0,(IF($DA$7&gt;=$C215+1, (-FV(InflationRate,$DA$7,,$G215)), 0)),0)</f>
        <v>0</v>
      </c>
    </row>
    <row r="216" spans="2:108" hidden="1" x14ac:dyDescent="0.2">
      <c r="B216" s="182"/>
      <c r="C216" s="189"/>
      <c r="D216" s="168"/>
      <c r="E216" s="149"/>
      <c r="F216" s="149"/>
      <c r="G216" s="149"/>
      <c r="H216" s="168"/>
      <c r="I216" s="600"/>
      <c r="J216" s="600"/>
      <c r="K216" s="600"/>
      <c r="L216" s="600"/>
      <c r="M216" s="600"/>
      <c r="N216" s="600"/>
      <c r="O216" s="600"/>
      <c r="P216" s="600"/>
      <c r="Q216" s="600"/>
      <c r="R216" s="600"/>
      <c r="S216" s="600"/>
      <c r="T216" s="600"/>
      <c r="U216" s="600"/>
      <c r="V216" s="600"/>
      <c r="W216" s="600"/>
      <c r="X216" s="600"/>
      <c r="Y216" s="600"/>
      <c r="Z216" s="600"/>
      <c r="AA216" s="600"/>
      <c r="AB216" s="601"/>
      <c r="AC216" s="160"/>
      <c r="AD216" s="150"/>
      <c r="AE216" s="150"/>
      <c r="AF216" s="165"/>
      <c r="AG216" s="168"/>
      <c r="AH216" s="149"/>
      <c r="AI216" s="149"/>
      <c r="AJ216" s="171"/>
      <c r="AK216" s="160"/>
      <c r="AL216" s="150"/>
      <c r="AM216" s="150"/>
      <c r="AN216" s="165"/>
      <c r="AO216" s="168"/>
      <c r="AP216" s="149"/>
      <c r="AQ216" s="149"/>
      <c r="AR216" s="157"/>
      <c r="AS216" s="160"/>
      <c r="AT216" s="150"/>
      <c r="AU216" s="150"/>
      <c r="AV216" s="165"/>
      <c r="AW216" s="168"/>
      <c r="AX216" s="149"/>
      <c r="AY216" s="149"/>
      <c r="AZ216" s="157"/>
      <c r="BA216" s="160"/>
      <c r="BB216" s="150"/>
      <c r="BC216" s="150"/>
      <c r="BD216" s="176"/>
      <c r="BE216" s="168"/>
      <c r="BF216" s="149"/>
      <c r="BG216" s="149"/>
      <c r="BH216" s="171"/>
      <c r="BI216" s="160"/>
      <c r="BJ216" s="150"/>
      <c r="BK216" s="150"/>
      <c r="BL216" s="176"/>
      <c r="BM216" s="168"/>
      <c r="BN216" s="149"/>
      <c r="BO216" s="149"/>
      <c r="BP216" s="157"/>
      <c r="BQ216" s="160"/>
      <c r="BR216" s="150"/>
      <c r="BS216" s="150"/>
      <c r="BT216" s="176"/>
      <c r="BU216" s="168"/>
      <c r="BV216" s="149"/>
      <c r="BW216" s="149"/>
      <c r="BX216" s="157"/>
      <c r="BY216" s="160"/>
      <c r="BZ216" s="150"/>
      <c r="CA216" s="150"/>
      <c r="CB216" s="176"/>
      <c r="CC216" s="168"/>
      <c r="CD216" s="149"/>
      <c r="CE216" s="149"/>
      <c r="CF216" s="157"/>
      <c r="CG216" s="160"/>
      <c r="CH216" s="150"/>
      <c r="CI216" s="150"/>
      <c r="CJ216" s="176"/>
      <c r="CK216" s="168"/>
      <c r="CL216" s="149"/>
      <c r="CM216" s="149"/>
      <c r="CN216" s="157"/>
      <c r="CO216" s="160"/>
      <c r="CP216" s="150"/>
      <c r="CQ216" s="150"/>
      <c r="CR216" s="176"/>
      <c r="CS216" s="168"/>
      <c r="CT216" s="149"/>
      <c r="CU216" s="149"/>
      <c r="CV216" s="157"/>
      <c r="CW216" s="160"/>
      <c r="CX216" s="150"/>
      <c r="CY216" s="150"/>
      <c r="CZ216" s="176"/>
      <c r="DA216" s="168"/>
      <c r="DB216" s="149"/>
      <c r="DC216" s="149"/>
      <c r="DD216" s="157"/>
    </row>
    <row r="217" spans="2:108" hidden="1" x14ac:dyDescent="0.2">
      <c r="B217" s="182" t="str">
        <f>'PRB - S3'!B5</f>
        <v>Permeable Reactive Barriers - Site 3</v>
      </c>
      <c r="C217" s="189"/>
      <c r="D217" s="194">
        <f>'PRB - S3'!F34</f>
        <v>0</v>
      </c>
      <c r="E217" s="195">
        <f>'PRB - S3'!F63</f>
        <v>0</v>
      </c>
      <c r="F217" s="195">
        <f>'PRB - S3'!F94</f>
        <v>0</v>
      </c>
      <c r="G217" s="195">
        <f>'PRB - S3'!F123</f>
        <v>0</v>
      </c>
      <c r="H217" s="168"/>
      <c r="I217" s="600"/>
      <c r="J217" s="600"/>
      <c r="K217" s="600"/>
      <c r="L217" s="600"/>
      <c r="M217" s="600"/>
      <c r="N217" s="600"/>
      <c r="O217" s="600"/>
      <c r="P217" s="600"/>
      <c r="Q217" s="600"/>
      <c r="R217" s="600"/>
      <c r="S217" s="600"/>
      <c r="T217" s="600"/>
      <c r="U217" s="600"/>
      <c r="V217" s="600"/>
      <c r="W217" s="600"/>
      <c r="X217" s="600"/>
      <c r="Y217" s="600"/>
      <c r="Z217" s="600"/>
      <c r="AA217" s="600"/>
      <c r="AB217" s="601"/>
      <c r="AC217" s="160"/>
      <c r="AD217" s="150"/>
      <c r="AE217" s="150"/>
      <c r="AF217" s="165"/>
      <c r="AG217" s="168"/>
      <c r="AH217" s="149"/>
      <c r="AI217" s="149"/>
      <c r="AJ217" s="171"/>
      <c r="AK217" s="160"/>
      <c r="AL217" s="150"/>
      <c r="AM217" s="150"/>
      <c r="AN217" s="165"/>
      <c r="AO217" s="168"/>
      <c r="AP217" s="149"/>
      <c r="AQ217" s="149"/>
      <c r="AR217" s="157"/>
      <c r="AS217" s="160"/>
      <c r="AT217" s="150"/>
      <c r="AU217" s="150"/>
      <c r="AV217" s="165"/>
      <c r="AW217" s="168"/>
      <c r="AX217" s="149"/>
      <c r="AY217" s="149"/>
      <c r="AZ217" s="157"/>
      <c r="BA217" s="160"/>
      <c r="BB217" s="150"/>
      <c r="BC217" s="150"/>
      <c r="BD217" s="176"/>
      <c r="BE217" s="168"/>
      <c r="BF217" s="149"/>
      <c r="BG217" s="149"/>
      <c r="BH217" s="171"/>
      <c r="BI217" s="160"/>
      <c r="BJ217" s="150"/>
      <c r="BK217" s="150"/>
      <c r="BL217" s="176"/>
      <c r="BM217" s="168"/>
      <c r="BN217" s="149"/>
      <c r="BO217" s="149"/>
      <c r="BP217" s="157"/>
      <c r="BQ217" s="160"/>
      <c r="BR217" s="150"/>
      <c r="BS217" s="150"/>
      <c r="BT217" s="176"/>
      <c r="BU217" s="168"/>
      <c r="BV217" s="149"/>
      <c r="BW217" s="149"/>
      <c r="BX217" s="157"/>
      <c r="BY217" s="160"/>
      <c r="BZ217" s="150"/>
      <c r="CA217" s="150"/>
      <c r="CB217" s="176"/>
      <c r="CC217" s="168"/>
      <c r="CD217" s="149"/>
      <c r="CE217" s="149"/>
      <c r="CF217" s="157"/>
      <c r="CG217" s="160"/>
      <c r="CH217" s="150"/>
      <c r="CI217" s="150"/>
      <c r="CJ217" s="176"/>
      <c r="CK217" s="168"/>
      <c r="CL217" s="149"/>
      <c r="CM217" s="149"/>
      <c r="CN217" s="157"/>
      <c r="CO217" s="160"/>
      <c r="CP217" s="150"/>
      <c r="CQ217" s="150"/>
      <c r="CR217" s="176"/>
      <c r="CS217" s="168"/>
      <c r="CT217" s="149"/>
      <c r="CU217" s="149"/>
      <c r="CV217" s="157"/>
      <c r="CW217" s="160"/>
      <c r="CX217" s="150"/>
      <c r="CY217" s="150"/>
      <c r="CZ217" s="176"/>
      <c r="DA217" s="168"/>
      <c r="DB217" s="149"/>
      <c r="DC217" s="149"/>
      <c r="DD217" s="157"/>
    </row>
    <row r="218" spans="2:108" hidden="1" x14ac:dyDescent="0.2">
      <c r="B218" s="183" t="s">
        <v>220</v>
      </c>
      <c r="C218" s="556"/>
      <c r="D218" s="168">
        <f>'PRB - S3'!F31+'PRB - S3'!F32</f>
        <v>0</v>
      </c>
      <c r="E218" s="149"/>
      <c r="F218" s="149"/>
      <c r="G218" s="149"/>
      <c r="H218" s="168">
        <f>SUM(I218:AB218)</f>
        <v>0</v>
      </c>
      <c r="I218" s="610">
        <f>-PV(InterestRate,I$8,,(SUM(AC218:AF218)))</f>
        <v>0</v>
      </c>
      <c r="J218" s="610">
        <f>-PV(InterestRate,J$8,,(SUM(AG218:AJ218)))</f>
        <v>0</v>
      </c>
      <c r="K218" s="610">
        <f>-PV(InterestRate,K$8,,(SUM(AK218:AN218)))</f>
        <v>0</v>
      </c>
      <c r="L218" s="610">
        <f>-PV(InterestRate,L$8,,(SUM(AO218:AR218)))</f>
        <v>0</v>
      </c>
      <c r="M218" s="610">
        <f>-PV(InterestRate,M$8,,(SUM(AS218:AV218)))</f>
        <v>0</v>
      </c>
      <c r="N218" s="610">
        <f>-PV(InterestRate,N$8,,(SUM(AW218:AZ218)))</f>
        <v>0</v>
      </c>
      <c r="O218" s="610">
        <f>-PV(InterestRate,O$8,,(SUM(BA218:BD218)))</f>
        <v>0</v>
      </c>
      <c r="P218" s="610">
        <f>-PV(InterestRate,P$8,,(SUM(BE218:BH218)))</f>
        <v>0</v>
      </c>
      <c r="Q218" s="610">
        <f>-PV(InterestRate,Q$8,,(SUM(BI218:BL218)))</f>
        <v>0</v>
      </c>
      <c r="R218" s="610">
        <f>-PV(InterestRate,R$8,,(SUM(BM218:BP218)))</f>
        <v>0</v>
      </c>
      <c r="S218" s="610">
        <f>-PV(InterestRate,S$8,,(SUM(BQ218:BT218)))</f>
        <v>0</v>
      </c>
      <c r="T218" s="610">
        <f>-PV(InterestRate,T$8,,(SUM(BU218:BX218)))</f>
        <v>0</v>
      </c>
      <c r="U218" s="610">
        <f>-PV(InterestRate,U$8,,(SUM(BY218:CB218)))</f>
        <v>0</v>
      </c>
      <c r="V218" s="610">
        <f>-PV(InterestRate,V$8,,(SUM(CC218:CF218)))</f>
        <v>0</v>
      </c>
      <c r="W218" s="610">
        <f>-PV(InterestRate,W$8,,(SUM(CG218:CJ218)))</f>
        <v>0</v>
      </c>
      <c r="X218" s="610">
        <f>-PV(InterestRate,X$8,,(SUM(CK218:CN218)))</f>
        <v>0</v>
      </c>
      <c r="Y218" s="610">
        <f>-PV(InterestRate,Y$8,,(SUM(CO218:CR218)))</f>
        <v>0</v>
      </c>
      <c r="Z218" s="610">
        <f>-PV(InterestRate,Z$8,,(SUM(CS218:CV218)))</f>
        <v>0</v>
      </c>
      <c r="AA218" s="610">
        <f>-PV(InterestRate,AA$8,,(SUM(CW218:CZ218)))</f>
        <v>0</v>
      </c>
      <c r="AB218" s="611">
        <f>-PV(InterestRate,AB$8,,(SUM(DA218:DD218)))</f>
        <v>0</v>
      </c>
      <c r="AC218" s="160"/>
      <c r="AD218" s="150"/>
      <c r="AE218" s="150"/>
      <c r="AF218" s="165"/>
      <c r="AG218" s="168"/>
      <c r="AH218" s="149"/>
      <c r="AI218" s="149"/>
      <c r="AJ218" s="171"/>
      <c r="AK218" s="160"/>
      <c r="AL218" s="150"/>
      <c r="AM218" s="150"/>
      <c r="AN218" s="165"/>
      <c r="AO218" s="168">
        <f>IF($C218&gt;0,(IF($C218=$AO$7,(-FV(InflationRate,$AO$7,,$D218)),0)),0)</f>
        <v>0</v>
      </c>
      <c r="AP218" s="149">
        <f>IF($C218&gt;0,(IF($AO$7&gt;=$C218+1, (-FV(InflationRate,$AO$7,,$E218)), 0)),0)</f>
        <v>0</v>
      </c>
      <c r="AQ218" s="149">
        <f>IF($C218&gt;0,(IF($AO$7&gt;=$C218+1, (-FV(InflationRate,$AO$7,,$F218)), 0)),0)</f>
        <v>0</v>
      </c>
      <c r="AR218" s="157">
        <f>IF($C218&gt;0,(IF($AO$7&gt;=$C218+1, (-FV(InflationRate,$AO$7,,$G218)), 0)),0)</f>
        <v>0</v>
      </c>
      <c r="AS218" s="160">
        <f>IF($C218&gt;0,(IF($C218=$AS$7,(-FV(InflationRate,$AS$7,,$D218)),0)),0)</f>
        <v>0</v>
      </c>
      <c r="AT218" s="150">
        <f>IF($C218&gt;0,(IF($AS$7&gt;=$C218+1, (-FV(InflationRate,$AS$7,,$E218)), 0)),0)</f>
        <v>0</v>
      </c>
      <c r="AU218" s="150">
        <f>IF($C218&gt;0,(IF($AS$7&gt;=$C218+1, (-FV(InflationRate,$AS$7,,$F218)), 0)),0)</f>
        <v>0</v>
      </c>
      <c r="AV218" s="165">
        <f>IF($C218&gt;0,(IF($AS$7&gt;=$C218+1, (-FV(InflationRate,$AS$7,,$G218)), 0)),0)</f>
        <v>0</v>
      </c>
      <c r="AW218" s="168">
        <f>IF($C218&gt;0,(IF($C218=$AW$7,(-FV(InflationRate,$AW$7,,$D218)),0)),0)</f>
        <v>0</v>
      </c>
      <c r="AX218" s="149">
        <f>IF($C218&gt;0,(IF($AW$7&gt;=$C218+1, (-FV(InflationRate,$AW$7,,$E218)), 0)),0)</f>
        <v>0</v>
      </c>
      <c r="AY218" s="149">
        <f>IF($C218&gt;0,(IF($AW$7&gt;=$C218+1, (-FV(InflationRate,$AW$7,,$F218)), 0)),0)</f>
        <v>0</v>
      </c>
      <c r="AZ218" s="157">
        <f>IF($C218&gt;0,(IF($AW$7&gt;=$C218+1, (-FV(InflationRate,$AW$7,,$G218)), 0)),0)</f>
        <v>0</v>
      </c>
      <c r="BA218" s="160">
        <f>IF($C218&gt;0,(IF($C218=$BA$7,(-FV(InflationRate,$BA$7,,$D218)),0)),0)</f>
        <v>0</v>
      </c>
      <c r="BB218" s="150">
        <f>IF($C218&gt;0,(IF($BA$7&gt;=$C218+1, (-FV(InflationRate,$BA$7,,$E218)), 0)),0)</f>
        <v>0</v>
      </c>
      <c r="BC218" s="150">
        <f>IF($C218&gt;0,(IF($BA$7&gt;=$C218+1, (-FV(InflationRate,$BA$7,,$F218)), 0)),0)</f>
        <v>0</v>
      </c>
      <c r="BD218" s="176">
        <f>IF($C218&gt;0,(IF($BA$7&gt;=$C218+1, (-FV(InflationRate,$BA$7,,$G218)), 0)),0)</f>
        <v>0</v>
      </c>
      <c r="BE218" s="168">
        <f>IF($C218&gt;0,(IF($C218=$BE$7,(-FV(InflationRate,$BE$7,,$D218)),0)),0)</f>
        <v>0</v>
      </c>
      <c r="BF218" s="149">
        <f>IF($C218&gt;0,(IF($BE$7&gt;=$C218+1, (-FV(InflationRate,$BE$7,,$E218)), 0)),0)</f>
        <v>0</v>
      </c>
      <c r="BG218" s="149">
        <f>IF($C218&gt;0,(IF($BE$7&gt;=$C218+1, (-FV(InflationRate,$BE$7,,$F218)), 0)),0)</f>
        <v>0</v>
      </c>
      <c r="BH218" s="171">
        <f>IF($C218&gt;0,(IF($BE$7&gt;=$C218+1, (-FV(InflationRate,$BE$7,,$G218)), 0)),0)</f>
        <v>0</v>
      </c>
      <c r="BI218" s="160">
        <f>IF($C218&gt;0,(IF($C218=$BI$7,(-FV(InflationRate,$BI$7,,$D218)),0)),0)</f>
        <v>0</v>
      </c>
      <c r="BJ218" s="150">
        <f>IF($C218&gt;0,(IF($BI$7&gt;=$C218+1, (-FV(InflationRate,$BI$7,,$E218)), 0)),0)</f>
        <v>0</v>
      </c>
      <c r="BK218" s="150">
        <f>IF($C218&gt;0,(IF($BI$7&gt;=$C218+1, (-FV(InflationRate,$BI$7,,$F218)), 0)),0)</f>
        <v>0</v>
      </c>
      <c r="BL218" s="176">
        <f>IF($C218&gt;0,(IF($BI$7&gt;=$C218+1, (-FV(InflationRate,$BI$7,,$G218)), 0)),0)</f>
        <v>0</v>
      </c>
      <c r="BM218" s="168">
        <f>IF($C218&gt;0,(IF($C218=$BM$7,(-FV(InflationRate,$BM$7,,$D218)),0)),0)</f>
        <v>0</v>
      </c>
      <c r="BN218" s="149">
        <f>IF($C218&gt;0,(IF($BM$7&gt;=$C218+1, (-FV(InflationRate,$BM$7,,$E218)), 0)),0)</f>
        <v>0</v>
      </c>
      <c r="BO218" s="149">
        <f>IF($C218&gt;0,(IF($BM$7&gt;=$C218+1, (-FV(InflationRate,$BM$7,,$F218)), 0)),0)</f>
        <v>0</v>
      </c>
      <c r="BP218" s="157">
        <f>IF($C218&gt;0,(IF($BM$7&gt;=$C218+1, (-FV(InflationRate,$BM$7,,$G218)), 0)),0)</f>
        <v>0</v>
      </c>
      <c r="BQ218" s="160">
        <f>IF($C218&gt;0,(IF($C218=$BQ$7,(-FV(InflationRate,$BQ$7,,$D218)),0)),0)</f>
        <v>0</v>
      </c>
      <c r="BR218" s="150">
        <f>IF($C218&gt;0,(IF($BQ$7&gt;=$C218+1, (-FV(InflationRate,$BQ$7,,$E218)), 0)),0)</f>
        <v>0</v>
      </c>
      <c r="BS218" s="150">
        <f>IF($C218&gt;0,(IF($BQ$7&gt;=$C218+1, (-FV(InflationRate,$BQ$7,,$F218)), 0)),0)</f>
        <v>0</v>
      </c>
      <c r="BT218" s="176">
        <f>IF($C218&gt;0,(IF($BQ$7&gt;=$C218+1, (-FV(InflationRate,$BQ$7,,$G218)), 0)),0)</f>
        <v>0</v>
      </c>
      <c r="BU218" s="168">
        <f>IF($C218&gt;0,(IF($C218=$BU$7,(-FV(InflationRate,$BU$7,,$D218)),0)),0)</f>
        <v>0</v>
      </c>
      <c r="BV218" s="149">
        <f>IF($C218&gt;0,(IF($BU$7&gt;=$C218+1, (-FV(InflationRate,$BU$7,,$E218)), 0)),0)</f>
        <v>0</v>
      </c>
      <c r="BW218" s="149">
        <f>IF($C218&gt;0,(IF($BU$7&gt;=$C218+1, (-FV(InflationRate,$BU$7,,$F218)), 0)),0)</f>
        <v>0</v>
      </c>
      <c r="BX218" s="157">
        <f>IF($C218&gt;0,(IF($BU$7&gt;=$C218+1, (-FV(InflationRate,$BU$7,,$G218)), 0)),0)</f>
        <v>0</v>
      </c>
      <c r="BY218" s="160">
        <f>IF($C218&gt;0,(IF($C218=$BY$7,(-FV(InflationRate,$BY$7,,$D218)),0)),0)</f>
        <v>0</v>
      </c>
      <c r="BZ218" s="150">
        <f>IF($C218&gt;0,(IF($BY$7&gt;=$C218+1, (-FV(InflationRate,$BY$7,,$E218)), 0)),0)</f>
        <v>0</v>
      </c>
      <c r="CA218" s="150">
        <f>IF($C218&gt;0,(IF($BY$7&gt;=$C218+1, (-FV(InflationRate,$BY$7,,$F218)), 0)),0)</f>
        <v>0</v>
      </c>
      <c r="CB218" s="176">
        <f>IF($C218&gt;0,(IF($BY$7&gt;=$C218+1, (-FV(InflationRate,$BY$7,,$G218)), 0)),0)</f>
        <v>0</v>
      </c>
      <c r="CC218" s="168">
        <f>IF($C218&gt;0,(IF($C218=$CC$7,(-FV(InflationRate,$CC$7,,$D218)),0)),0)</f>
        <v>0</v>
      </c>
      <c r="CD218" s="149">
        <f>IF($C218&gt;0,(IF($CC$7&gt;=$C218+1, (-FV(InflationRate,$CC$7,,$E218)), 0)),0)</f>
        <v>0</v>
      </c>
      <c r="CE218" s="149">
        <f>IF($C218&gt;0,(IF($CC$7&gt;=$C218+1, (-FV(InflationRate,$CC$7,,$F218)), 0)),0)</f>
        <v>0</v>
      </c>
      <c r="CF218" s="157">
        <f>IF($C218&gt;0,(IF($CC$7&gt;=$C218+1, (-FV(InflationRate,$CC$7,,$G218)), 0)),0)</f>
        <v>0</v>
      </c>
      <c r="CG218" s="160">
        <f>IF($C218&gt;0,(IF($C218=$CG$7,(-FV(InflationRate,$CG$7,,$D218)),0)),0)</f>
        <v>0</v>
      </c>
      <c r="CH218" s="150">
        <f>IF($C218&gt;0,(IF($CG$7&gt;=$C218+1, (-FV(InflationRate,$CG$7,,$E218)), 0)),0)</f>
        <v>0</v>
      </c>
      <c r="CI218" s="150">
        <f>IF($C218&gt;0,(IF($CG$7&gt;=$C218+1, (-FV(InflationRate,$CG$7,,$F218)), 0)),0)</f>
        <v>0</v>
      </c>
      <c r="CJ218" s="176">
        <f>IF($C218&gt;0,(IF($CG$7&gt;=$C218+1, (-FV(InflationRate,$CG$7,,$G218)), 0)),0)</f>
        <v>0</v>
      </c>
      <c r="CK218" s="168">
        <f>IF($C218&gt;0,(IF($C218=$CK$7,(-FV(InflationRate,$CK$7,,$D218)),0)),0)</f>
        <v>0</v>
      </c>
      <c r="CL218" s="149">
        <f>IF($C218&gt;0,(IF($CK$7&gt;=$C218+1, (-FV(InflationRate,$CK$7,,$E218)), 0)),0)</f>
        <v>0</v>
      </c>
      <c r="CM218" s="149">
        <f>IF($C218&gt;0,(IF($CK$7&gt;=$C218+1, (-FV(InflationRate,$CK$7,,$F218)), 0)),0)</f>
        <v>0</v>
      </c>
      <c r="CN218" s="157">
        <f>IF($C218&gt;0,(IF($CK$7&gt;=$C218+1, (-FV(InflationRate,$CK$7,,$G218)), 0)),0)</f>
        <v>0</v>
      </c>
      <c r="CO218" s="160">
        <f>IF($C218&gt;0,(IF($C218=$CO$7,(-FV(InflationRate,$CO$7,,$D218)),0)),0)</f>
        <v>0</v>
      </c>
      <c r="CP218" s="150">
        <f>IF($C218&gt;0,(IF($CO$7&gt;=$C218+1, (-FV(InflationRate,$CO$7,,$E218)), 0)),0)</f>
        <v>0</v>
      </c>
      <c r="CQ218" s="150">
        <f>IF($C218&gt;0,(IF($CO$7&gt;=$C218+1, (-FV(InflationRate,$CO$7,,$F218)), 0)),0)</f>
        <v>0</v>
      </c>
      <c r="CR218" s="176">
        <f>IF($C218&gt;0,(IF($CO$7&gt;=$C218+1, (-FV(InflationRate,$CO$7,,$G218)), 0)),0)</f>
        <v>0</v>
      </c>
      <c r="CS218" s="168">
        <f>IF($C218&gt;0,(IF($C218=$CS$7,(-FV(InflationRate,$CS$7,,$D218)),0)),0)</f>
        <v>0</v>
      </c>
      <c r="CT218" s="149">
        <f>IF($C218&gt;0,(IF($CS$7&gt;=$C218+1, (-FV(InflationRate,$CS$7,,$E218)), 0)),0)</f>
        <v>0</v>
      </c>
      <c r="CU218" s="149">
        <f>IF($C218&gt;0,(IF($CS$7&gt;=$C218+1, (-FV(InflationRate,$CS$7,,$F218)), 0)),0)</f>
        <v>0</v>
      </c>
      <c r="CV218" s="157">
        <f>IF($C218&gt;0,(IF($CS$7&gt;=$C218+1, (-FV(InflationRate,$CS$7,,$G218)), 0)),0)</f>
        <v>0</v>
      </c>
      <c r="CW218" s="160">
        <f>IF($C218&gt;0,(IF($C218=$CW$7,(-FV(InflationRate,$CW$7,,$D218)),0)),0)</f>
        <v>0</v>
      </c>
      <c r="CX218" s="150">
        <f>IF($C218&gt;0,(IF($CW$7&gt;=$C218+1, (-FV(InflationRate,$CW$7,,$E218)), 0)),0)</f>
        <v>0</v>
      </c>
      <c r="CY218" s="150">
        <f>IF($C218&gt;0,(IF($CW$7&gt;=$C218+1, (-FV(InflationRate,$CW$7,,$F218)), 0)),0)</f>
        <v>0</v>
      </c>
      <c r="CZ218" s="176">
        <f>IF($C218&gt;0,(IF($CW$7&gt;=$C218+1, (-FV(InflationRate,$CW$7,,$G218)), 0)),0)</f>
        <v>0</v>
      </c>
      <c r="DA218" s="168">
        <f>IF($C218&gt;0,(IF($C218=$DA$7,(-FV(InflationRate,$DA$7,,$D218)),0)),0)</f>
        <v>0</v>
      </c>
      <c r="DB218" s="149">
        <f>IF($C218&gt;0,(IF($DA$7&gt;=$C218+1, (-FV(InflationRate,$DA$7,,$E218)), 0)),0)</f>
        <v>0</v>
      </c>
      <c r="DC218" s="149">
        <f>IF($C218&gt;0,(IF($DA$7&gt;=$C218+1, (-FV(InflationRate,$DA$7,,$F218)), 0)),0)</f>
        <v>0</v>
      </c>
      <c r="DD218" s="157">
        <f>IF($C218&gt;0,(IF($DA$7&gt;=$C218+1, (-FV(InflationRate,$DA$7,,$G218)), 0)),0)</f>
        <v>0</v>
      </c>
    </row>
    <row r="219" spans="2:108" hidden="1" x14ac:dyDescent="0.2">
      <c r="B219" s="183" t="s">
        <v>270</v>
      </c>
      <c r="C219" s="556"/>
      <c r="D219" s="168">
        <f>D217-D218</f>
        <v>0</v>
      </c>
      <c r="E219" s="149">
        <f>E217</f>
        <v>0</v>
      </c>
      <c r="F219" s="149"/>
      <c r="G219" s="149">
        <f>G217</f>
        <v>0</v>
      </c>
      <c r="H219" s="168">
        <f>SUM(I219:AB219)</f>
        <v>0</v>
      </c>
      <c r="I219" s="610">
        <f>-PV(InterestRate,I$8,,(SUM(AC219:AF219)))</f>
        <v>0</v>
      </c>
      <c r="J219" s="610">
        <f>-PV(InterestRate,J$8,,(SUM(AG219:AJ219)))</f>
        <v>0</v>
      </c>
      <c r="K219" s="610">
        <f>-PV(InterestRate,K$8,,(SUM(AK219:AN219)))</f>
        <v>0</v>
      </c>
      <c r="L219" s="610">
        <f>-PV(InterestRate,L$8,,(SUM(AO219:AR219)))</f>
        <v>0</v>
      </c>
      <c r="M219" s="610">
        <f>-PV(InterestRate,M$8,,(SUM(AS219:AV219)))</f>
        <v>0</v>
      </c>
      <c r="N219" s="610">
        <f>-PV(InterestRate,N$8,,(SUM(AW219:AZ219)))</f>
        <v>0</v>
      </c>
      <c r="O219" s="610">
        <f>-PV(InterestRate,O$8,,(SUM(BA219:BD219)))</f>
        <v>0</v>
      </c>
      <c r="P219" s="610">
        <f>-PV(InterestRate,P$8,,(SUM(BE219:BH219)))</f>
        <v>0</v>
      </c>
      <c r="Q219" s="610">
        <f>-PV(InterestRate,Q$8,,(SUM(BI219:BL219)))</f>
        <v>0</v>
      </c>
      <c r="R219" s="610">
        <f>-PV(InterestRate,R$8,,(SUM(BM219:BP219)))</f>
        <v>0</v>
      </c>
      <c r="S219" s="610">
        <f>-PV(InterestRate,S$8,,(SUM(BQ219:BT219)))</f>
        <v>0</v>
      </c>
      <c r="T219" s="610">
        <f>-PV(InterestRate,T$8,,(SUM(BU219:BX219)))</f>
        <v>0</v>
      </c>
      <c r="U219" s="610">
        <f>-PV(InterestRate,U$8,,(SUM(BY219:CB219)))</f>
        <v>0</v>
      </c>
      <c r="V219" s="610">
        <f>-PV(InterestRate,V$8,,(SUM(CC219:CF219)))</f>
        <v>0</v>
      </c>
      <c r="W219" s="610">
        <f>-PV(InterestRate,W$8,,(SUM(CG219:CJ219)))</f>
        <v>0</v>
      </c>
      <c r="X219" s="610">
        <f>-PV(InterestRate,X$8,,(SUM(CK219:CN219)))</f>
        <v>0</v>
      </c>
      <c r="Y219" s="610">
        <f>-PV(InterestRate,Y$8,,(SUM(CO219:CR219)))</f>
        <v>0</v>
      </c>
      <c r="Z219" s="610">
        <f>-PV(InterestRate,Z$8,,(SUM(CS219:CV219)))</f>
        <v>0</v>
      </c>
      <c r="AA219" s="610">
        <f>-PV(InterestRate,AA$8,,(SUM(CW219:CZ219)))</f>
        <v>0</v>
      </c>
      <c r="AB219" s="611">
        <f>-PV(InterestRate,AB$8,,(SUM(DA219:DD219)))</f>
        <v>0</v>
      </c>
      <c r="AC219" s="160"/>
      <c r="AD219" s="150"/>
      <c r="AE219" s="150"/>
      <c r="AF219" s="165"/>
      <c r="AG219" s="168"/>
      <c r="AH219" s="149"/>
      <c r="AI219" s="149"/>
      <c r="AJ219" s="171"/>
      <c r="AK219" s="160"/>
      <c r="AL219" s="150"/>
      <c r="AM219" s="150"/>
      <c r="AN219" s="165"/>
      <c r="AO219" s="168">
        <f>IF($C219&gt;0,(IF($C219=$AO$7,(-FV(InflationRate,$AO$7,,$D219)),0)),0)</f>
        <v>0</v>
      </c>
      <c r="AP219" s="149">
        <f>IF($C219&gt;0,(IF($AO$7&gt;=$C219+1, (-FV(InflationRate,$AO$7,,$E219)), 0)),0)</f>
        <v>0</v>
      </c>
      <c r="AQ219" s="149">
        <f>IF($C219&gt;0,(IF($AO$7&gt;=$C219+1, (-FV(InflationRate,$AO$7,,$F219)), 0)),0)</f>
        <v>0</v>
      </c>
      <c r="AR219" s="157">
        <f>IF($C219&gt;0,(IF($AO$7&gt;=$C219+1, (-FV(InflationRate,$AO$7,,$G219)), 0)),0)</f>
        <v>0</v>
      </c>
      <c r="AS219" s="160">
        <f>IF($C219&gt;0,(IF($C219=$AS$7,(-FV(InflationRate,$AS$7,,$D219)),0)),0)</f>
        <v>0</v>
      </c>
      <c r="AT219" s="150">
        <f>IF($C219&gt;0,(IF($AS$7&gt;=$C219+1, (-FV(InflationRate,$AS$7,,$E219)), 0)),0)</f>
        <v>0</v>
      </c>
      <c r="AU219" s="150">
        <f>IF($C219&gt;0,(IF($AS$7&gt;=$C219+1, (-FV(InflationRate,$AS$7,,$F219)), 0)),0)</f>
        <v>0</v>
      </c>
      <c r="AV219" s="165">
        <f>IF($C219&gt;0,(IF($AS$7&gt;=$C219+1, (-FV(InflationRate,$AS$7,,$G219)), 0)),0)</f>
        <v>0</v>
      </c>
      <c r="AW219" s="168">
        <f>IF($C219&gt;0,(IF($C219=$AW$7,(-FV(InflationRate,$AW$7,,$D219)),0)),0)</f>
        <v>0</v>
      </c>
      <c r="AX219" s="149">
        <f>IF($C219&gt;0,(IF($AW$7&gt;=$C219+1, (-FV(InflationRate,$AW$7,,$E219)), 0)),0)</f>
        <v>0</v>
      </c>
      <c r="AY219" s="149">
        <f>IF($C219&gt;0,(IF($AW$7&gt;=$C219+1, (-FV(InflationRate,$AW$7,,$F219)), 0)),0)</f>
        <v>0</v>
      </c>
      <c r="AZ219" s="157">
        <f>IF($C219&gt;0,(IF($AW$7&gt;=$C219+1, (-FV(InflationRate,$AW$7,,$G219)), 0)),0)</f>
        <v>0</v>
      </c>
      <c r="BA219" s="160">
        <f>IF($C219&gt;0,(IF($C219=$BA$7,(-FV(InflationRate,$BA$7,,$D219)),0)),0)</f>
        <v>0</v>
      </c>
      <c r="BB219" s="150">
        <f>IF($C219&gt;0,(IF($BA$7&gt;=$C219+1, (-FV(InflationRate,$BA$7,,$E219)), 0)),0)</f>
        <v>0</v>
      </c>
      <c r="BC219" s="150">
        <f>IF($C219&gt;0,(IF($BA$7&gt;=$C219+1, (-FV(InflationRate,$BA$7,,$F219)), 0)),0)</f>
        <v>0</v>
      </c>
      <c r="BD219" s="176">
        <f>IF($C219&gt;0,(IF($BA$7&gt;=$C219+1, (-FV(InflationRate,$BA$7,,$G219)), 0)),0)</f>
        <v>0</v>
      </c>
      <c r="BE219" s="168">
        <f>IF($C219&gt;0,(IF($C219=$BE$7,(-FV(InflationRate,$BE$7,,$D219)),0)),0)</f>
        <v>0</v>
      </c>
      <c r="BF219" s="149">
        <f>IF($C219&gt;0,(IF($BE$7&gt;=$C219+1, (-FV(InflationRate,$BE$7,,$E219)), 0)),0)</f>
        <v>0</v>
      </c>
      <c r="BG219" s="149">
        <f>IF($C219&gt;0,(IF($BE$7&gt;=$C219+1, (-FV(InflationRate,$BE$7,,$F219)), 0)),0)</f>
        <v>0</v>
      </c>
      <c r="BH219" s="171">
        <f>IF($C219&gt;0,(IF($BE$7&gt;=$C219+1, (-FV(InflationRate,$BE$7,,$G219)), 0)),0)</f>
        <v>0</v>
      </c>
      <c r="BI219" s="160">
        <f>IF($C219&gt;0,(IF($C219=$BI$7,(-FV(InflationRate,$BI$7,,$D219)),0)),0)</f>
        <v>0</v>
      </c>
      <c r="BJ219" s="150">
        <f>IF($C219&gt;0,(IF($BI$7&gt;=$C219+1, (-FV(InflationRate,$BI$7,,$E219)), 0)),0)</f>
        <v>0</v>
      </c>
      <c r="BK219" s="150">
        <f>IF($C219&gt;0,(IF($BI$7&gt;=$C219+1, (-FV(InflationRate,$BI$7,,$F219)), 0)),0)</f>
        <v>0</v>
      </c>
      <c r="BL219" s="176">
        <f>IF($C219&gt;0,(IF($BI$7&gt;=$C219+1, (-FV(InflationRate,$BI$7,,$G219)), 0)),0)</f>
        <v>0</v>
      </c>
      <c r="BM219" s="168">
        <f>IF($C219&gt;0,(IF($C219=$BM$7,(-FV(InflationRate,$BM$7,,$D219)),0)),0)</f>
        <v>0</v>
      </c>
      <c r="BN219" s="149">
        <f>IF($C219&gt;0,(IF($BM$7&gt;=$C219+1, (-FV(InflationRate,$BM$7,,$E219)), 0)),0)</f>
        <v>0</v>
      </c>
      <c r="BO219" s="149">
        <f>IF($C219&gt;0,(IF($BM$7&gt;=$C219+1, (-FV(InflationRate,$BM$7,,$F219)), 0)),0)</f>
        <v>0</v>
      </c>
      <c r="BP219" s="157">
        <f>IF($C219&gt;0,(IF($BM$7&gt;=$C219+1, (-FV(InflationRate,$BM$7,,$G219)), 0)),0)</f>
        <v>0</v>
      </c>
      <c r="BQ219" s="160">
        <f>IF($C219&gt;0,(IF($C219=$BQ$7,(-FV(InflationRate,$BQ$7,,$D219)),0)),0)</f>
        <v>0</v>
      </c>
      <c r="BR219" s="150">
        <f>IF($C219&gt;0,(IF($BQ$7&gt;=$C219+1, (-FV(InflationRate,$BQ$7,,$E219)), 0)),0)</f>
        <v>0</v>
      </c>
      <c r="BS219" s="150">
        <f>IF($C219&gt;0,(IF($BQ$7&gt;=$C219+1, (-FV(InflationRate,$BQ$7,,$F219)), 0)),0)</f>
        <v>0</v>
      </c>
      <c r="BT219" s="176">
        <f>IF($C219&gt;0,(IF($BQ$7&gt;=$C219+1, (-FV(InflationRate,$BQ$7,,$G219)), 0)),0)</f>
        <v>0</v>
      </c>
      <c r="BU219" s="168">
        <f>IF($C219&gt;0,(IF($C219=$BU$7,(-FV(InflationRate,$BU$7,,$D219)),0)),0)</f>
        <v>0</v>
      </c>
      <c r="BV219" s="149">
        <f>IF($C219&gt;0,(IF($BU$7&gt;=$C219+1, (-FV(InflationRate,$BU$7,,$E219)), 0)),0)</f>
        <v>0</v>
      </c>
      <c r="BW219" s="149">
        <f>IF($C219&gt;0,(IF($BU$7&gt;=$C219+1, (-FV(InflationRate,$BU$7,,$F219)), 0)),0)</f>
        <v>0</v>
      </c>
      <c r="BX219" s="157">
        <f>IF($C219&gt;0,(IF($BU$7&gt;=$C219+1, (-FV(InflationRate,$BU$7,,$G219)), 0)),0)</f>
        <v>0</v>
      </c>
      <c r="BY219" s="160">
        <f>IF($C219&gt;0,(IF($C219=$BY$7,(-FV(InflationRate,$BY$7,,$D219)),0)),0)</f>
        <v>0</v>
      </c>
      <c r="BZ219" s="150">
        <f>IF($C219&gt;0,(IF($BY$7&gt;=$C219+1, (-FV(InflationRate,$BY$7,,$E219)), 0)),0)</f>
        <v>0</v>
      </c>
      <c r="CA219" s="150">
        <f>IF($C219&gt;0,(IF($BY$7&gt;=$C219+1, (-FV(InflationRate,$BY$7,,$F219)), 0)),0)</f>
        <v>0</v>
      </c>
      <c r="CB219" s="176">
        <f>IF($C219&gt;0,(IF($BY$7&gt;=$C219+1, (-FV(InflationRate,$BY$7,,$G219)), 0)),0)</f>
        <v>0</v>
      </c>
      <c r="CC219" s="168">
        <f>IF($C219&gt;0,(IF($C219=$CC$7,(-FV(InflationRate,$CC$7,,$D219)),0)),0)</f>
        <v>0</v>
      </c>
      <c r="CD219" s="149">
        <f>IF($C219&gt;0,(IF($CC$7&gt;=$C219+1, (-FV(InflationRate,$CC$7,,$E219)), 0)),0)</f>
        <v>0</v>
      </c>
      <c r="CE219" s="149">
        <f>IF($C219&gt;0,(IF($CC$7&gt;=$C219+1, (-FV(InflationRate,$CC$7,,$F219)), 0)),0)</f>
        <v>0</v>
      </c>
      <c r="CF219" s="157">
        <f>IF($C219&gt;0,(IF($CC$7&gt;=$C219+1, (-FV(InflationRate,$CC$7,,$G219)), 0)),0)</f>
        <v>0</v>
      </c>
      <c r="CG219" s="160">
        <f>IF($C219&gt;0,(IF($C219=$CG$7,(-FV(InflationRate,$CG$7,,$D219)),0)),0)</f>
        <v>0</v>
      </c>
      <c r="CH219" s="150">
        <f>IF($C219&gt;0,(IF($CG$7&gt;=$C219+1, (-FV(InflationRate,$CG$7,,$E219)), 0)),0)</f>
        <v>0</v>
      </c>
      <c r="CI219" s="150">
        <f>IF($C219&gt;0,(IF($CG$7&gt;=$C219+1, (-FV(InflationRate,$CG$7,,$F219)), 0)),0)</f>
        <v>0</v>
      </c>
      <c r="CJ219" s="176">
        <f>IF($C219&gt;0,(IF($CG$7&gt;=$C219+1, (-FV(InflationRate,$CG$7,,$G219)), 0)),0)</f>
        <v>0</v>
      </c>
      <c r="CK219" s="168">
        <f>IF($C219&gt;0,(IF($C219=$CK$7,(-FV(InflationRate,$CK$7,,$D219)),0)),0)</f>
        <v>0</v>
      </c>
      <c r="CL219" s="149">
        <f>IF($C219&gt;0,(IF($CK$7&gt;=$C219+1, (-FV(InflationRate,$CK$7,,$E219)), 0)),0)</f>
        <v>0</v>
      </c>
      <c r="CM219" s="149">
        <f>IF($C219&gt;0,(IF($CK$7&gt;=$C219+1, (-FV(InflationRate,$CK$7,,$F219)), 0)),0)</f>
        <v>0</v>
      </c>
      <c r="CN219" s="157">
        <f>IF($C219&gt;0,(IF($CK$7&gt;=$C219+1, (-FV(InflationRate,$CK$7,,$G219)), 0)),0)</f>
        <v>0</v>
      </c>
      <c r="CO219" s="160">
        <f>IF($C219&gt;0,(IF($C219=$CO$7,(-FV(InflationRate,$CO$7,,$D219)),0)),0)</f>
        <v>0</v>
      </c>
      <c r="CP219" s="150">
        <f>IF($C219&gt;0,(IF($CO$7&gt;=$C219+1, (-FV(InflationRate,$CO$7,,$E219)), 0)),0)</f>
        <v>0</v>
      </c>
      <c r="CQ219" s="150">
        <f>IF($C219&gt;0,(IF($CO$7&gt;=$C219+1, (-FV(InflationRate,$CO$7,,$F219)), 0)),0)</f>
        <v>0</v>
      </c>
      <c r="CR219" s="176">
        <f>IF($C219&gt;0,(IF($CO$7&gt;=$C219+1, (-FV(InflationRate,$CO$7,,$G219)), 0)),0)</f>
        <v>0</v>
      </c>
      <c r="CS219" s="168">
        <f>IF($C219&gt;0,(IF($C219=$CS$7,(-FV(InflationRate,$CS$7,,$D219)),0)),0)</f>
        <v>0</v>
      </c>
      <c r="CT219" s="149">
        <f>IF($C219&gt;0,(IF($CS$7&gt;=$C219+1, (-FV(InflationRate,$CS$7,,$E219)), 0)),0)</f>
        <v>0</v>
      </c>
      <c r="CU219" s="149">
        <f>IF($C219&gt;0,(IF($CS$7&gt;=$C219+1, (-FV(InflationRate,$CS$7,,$F219)), 0)),0)</f>
        <v>0</v>
      </c>
      <c r="CV219" s="157">
        <f>IF($C219&gt;0,(IF($CS$7&gt;=$C219+1, (-FV(InflationRate,$CS$7,,$G219)), 0)),0)</f>
        <v>0</v>
      </c>
      <c r="CW219" s="160">
        <f>IF($C219&gt;0,(IF($C219=$CW$7,(-FV(InflationRate,$CW$7,,$D219)),0)),0)</f>
        <v>0</v>
      </c>
      <c r="CX219" s="150">
        <f>IF($C219&gt;0,(IF($CW$7&gt;=$C219+1, (-FV(InflationRate,$CW$7,,$E219)), 0)),0)</f>
        <v>0</v>
      </c>
      <c r="CY219" s="150">
        <f>IF($C219&gt;0,(IF($CW$7&gt;=$C219+1, (-FV(InflationRate,$CW$7,,$F219)), 0)),0)</f>
        <v>0</v>
      </c>
      <c r="CZ219" s="176">
        <f>IF($C219&gt;0,(IF($CW$7&gt;=$C219+1, (-FV(InflationRate,$CW$7,,$G219)), 0)),0)</f>
        <v>0</v>
      </c>
      <c r="DA219" s="168">
        <f>IF($C219&gt;0,(IF($C219=$DA$7,(-FV(InflationRate,$DA$7,,$D219)),0)),0)</f>
        <v>0</v>
      </c>
      <c r="DB219" s="149">
        <f>IF($C219&gt;0,(IF($DA$7&gt;=$C219+1, (-FV(InflationRate,$DA$7,,$E219)), 0)),0)</f>
        <v>0</v>
      </c>
      <c r="DC219" s="149">
        <f>IF($C219&gt;0,(IF($DA$7&gt;=$C219+1, (-FV(InflationRate,$DA$7,,$F219)), 0)),0)</f>
        <v>0</v>
      </c>
      <c r="DD219" s="157">
        <f>IF($C219&gt;0,(IF($DA$7&gt;=$C219+1, (-FV(InflationRate,$DA$7,,$G219)), 0)),0)</f>
        <v>0</v>
      </c>
    </row>
    <row r="220" spans="2:108" hidden="1" x14ac:dyDescent="0.2">
      <c r="B220" s="183" t="s">
        <v>203</v>
      </c>
      <c r="C220" s="556"/>
      <c r="D220" s="168"/>
      <c r="E220" s="149"/>
      <c r="F220" s="149">
        <f>F217</f>
        <v>0</v>
      </c>
      <c r="G220" s="149"/>
      <c r="H220" s="168">
        <f>SUM(I220:AB220)</f>
        <v>0</v>
      </c>
      <c r="I220" s="610">
        <f>-PV(InterestRate,I$8,,(SUM(AC220:AF220)))</f>
        <v>0</v>
      </c>
      <c r="J220" s="610">
        <f>-PV(InterestRate,J$8,,(SUM(AG220:AJ220)))</f>
        <v>0</v>
      </c>
      <c r="K220" s="610">
        <f>-PV(InterestRate,K$8,,(SUM(AK220:AN220)))</f>
        <v>0</v>
      </c>
      <c r="L220" s="610">
        <f>-PV(InterestRate,L$8,,(SUM(AO220:AR220)))</f>
        <v>0</v>
      </c>
      <c r="M220" s="610">
        <f>-PV(InterestRate,M$8,,(SUM(AS220:AV220)))</f>
        <v>0</v>
      </c>
      <c r="N220" s="610">
        <f>-PV(InterestRate,N$8,,(SUM(AW220:AZ220)))</f>
        <v>0</v>
      </c>
      <c r="O220" s="610">
        <f>-PV(InterestRate,O$8,,(SUM(BA220:BD220)))</f>
        <v>0</v>
      </c>
      <c r="P220" s="610">
        <f>-PV(InterestRate,P$8,,(SUM(BE220:BH220)))</f>
        <v>0</v>
      </c>
      <c r="Q220" s="610">
        <f>-PV(InterestRate,Q$8,,(SUM(BI220:BL220)))</f>
        <v>0</v>
      </c>
      <c r="R220" s="610">
        <f>-PV(InterestRate,R$8,,(SUM(BM220:BP220)))</f>
        <v>0</v>
      </c>
      <c r="S220" s="610">
        <f>-PV(InterestRate,S$8,,(SUM(BQ220:BT220)))</f>
        <v>0</v>
      </c>
      <c r="T220" s="610">
        <f>-PV(InterestRate,T$8,,(SUM(BU220:BX220)))</f>
        <v>0</v>
      </c>
      <c r="U220" s="610">
        <f>-PV(InterestRate,U$8,,(SUM(BY220:CB220)))</f>
        <v>0</v>
      </c>
      <c r="V220" s="610">
        <f>-PV(InterestRate,V$8,,(SUM(CC220:CF220)))</f>
        <v>0</v>
      </c>
      <c r="W220" s="610">
        <f>-PV(InterestRate,W$8,,(SUM(CG220:CJ220)))</f>
        <v>0</v>
      </c>
      <c r="X220" s="610">
        <f>-PV(InterestRate,X$8,,(SUM(CK220:CN220)))</f>
        <v>0</v>
      </c>
      <c r="Y220" s="610">
        <f>-PV(InterestRate,Y$8,,(SUM(CO220:CR220)))</f>
        <v>0</v>
      </c>
      <c r="Z220" s="610">
        <f>-PV(InterestRate,Z$8,,(SUM(CS220:CV220)))</f>
        <v>0</v>
      </c>
      <c r="AA220" s="610">
        <f>-PV(InterestRate,AA$8,,(SUM(CW220:CZ220)))</f>
        <v>0</v>
      </c>
      <c r="AB220" s="611">
        <f>-PV(InterestRate,AB$8,,(SUM(DA220:DD220)))</f>
        <v>0</v>
      </c>
      <c r="AC220" s="160"/>
      <c r="AD220" s="150"/>
      <c r="AE220" s="150"/>
      <c r="AF220" s="165"/>
      <c r="AG220" s="168"/>
      <c r="AH220" s="149"/>
      <c r="AI220" s="149"/>
      <c r="AJ220" s="171"/>
      <c r="AK220" s="160"/>
      <c r="AL220" s="150"/>
      <c r="AM220" s="150"/>
      <c r="AN220" s="165"/>
      <c r="AO220" s="168">
        <f>IF($C220&gt;0,(IF($C220=$AO$7,(-FV(InflationRate,$AO$7,,$D220)),0)),0)</f>
        <v>0</v>
      </c>
      <c r="AP220" s="149">
        <f>IF($C220&gt;0,(IF($AO$7&gt;=$C220+1, (-FV(InflationRate,$AO$7,,$E220)), 0)),0)</f>
        <v>0</v>
      </c>
      <c r="AQ220" s="149">
        <f>IF($C220&gt;0,(IF($AO$7&gt;=$C220+1, (-FV(InflationRate,$AO$7,,$F220)), 0)),0)</f>
        <v>0</v>
      </c>
      <c r="AR220" s="157">
        <f>IF($C220&gt;0,(IF($AO$7&gt;=$C220+1, (-FV(InflationRate,$AO$7,,$G220)), 0)),0)</f>
        <v>0</v>
      </c>
      <c r="AS220" s="160">
        <f>IF($C220&gt;0,(IF($C220=$AS$7,(-FV(InflationRate,$AS$7,,$D220)),0)),0)</f>
        <v>0</v>
      </c>
      <c r="AT220" s="150">
        <f>IF($C220&gt;0,(IF($AS$7&gt;=$C220+1, (-FV(InflationRate,$AS$7,,$E220)), 0)),0)</f>
        <v>0</v>
      </c>
      <c r="AU220" s="150">
        <f>IF($C220&gt;0,(IF($AS$7&gt;=$C220+1, (-FV(InflationRate,$AS$7,,$F220)), 0)),0)</f>
        <v>0</v>
      </c>
      <c r="AV220" s="165">
        <f>IF($C220&gt;0,(IF($AS$7&gt;=$C220+1, (-FV(InflationRate,$AS$7,,$G220)), 0)),0)</f>
        <v>0</v>
      </c>
      <c r="AW220" s="168">
        <f>IF($C220&gt;0,(IF($C220=$AW$7,(-FV(InflationRate,$AW$7,,$D220)),0)),0)</f>
        <v>0</v>
      </c>
      <c r="AX220" s="149">
        <f>IF($C220&gt;0,(IF($AW$7&gt;=$C220+1, (-FV(InflationRate,$AW$7,,$E220)), 0)),0)</f>
        <v>0</v>
      </c>
      <c r="AY220" s="149">
        <f>IF($C220&gt;0,(IF($AW$7&gt;=$C220+1, (-FV(InflationRate,$AW$7,,$F220)), 0)),0)</f>
        <v>0</v>
      </c>
      <c r="AZ220" s="157">
        <f>IF($C220&gt;0,(IF($AW$7&gt;=$C220+1, (-FV(InflationRate,$AW$7,,$G220)), 0)),0)</f>
        <v>0</v>
      </c>
      <c r="BA220" s="160">
        <f>IF($C220&gt;0,(IF($C220=$BA$7,(-FV(InflationRate,$BA$7,,$D220)),0)),0)</f>
        <v>0</v>
      </c>
      <c r="BB220" s="150">
        <f>IF($C220&gt;0,(IF($BA$7&gt;=$C220+1, (-FV(InflationRate,$BA$7,,$E220)), 0)),0)</f>
        <v>0</v>
      </c>
      <c r="BC220" s="150">
        <f>IF($C220&gt;0,(IF($BA$7&gt;=$C220+1, (-FV(InflationRate,$BA$7,,$F220)), 0)),0)</f>
        <v>0</v>
      </c>
      <c r="BD220" s="176">
        <f>IF($C220&gt;0,(IF($BA$7&gt;=$C220+1, (-FV(InflationRate,$BA$7,,$G220)), 0)),0)</f>
        <v>0</v>
      </c>
      <c r="BE220" s="168">
        <f>IF($C220&gt;0,(IF($C220=$BE$7,(-FV(InflationRate,$BE$7,,$D220)),0)),0)</f>
        <v>0</v>
      </c>
      <c r="BF220" s="149">
        <f>IF($C220&gt;0,(IF($BE$7&gt;=$C220+1, (-FV(InflationRate,$BE$7,,$E220)), 0)),0)</f>
        <v>0</v>
      </c>
      <c r="BG220" s="149">
        <f>IF($C220&gt;0,(IF($BE$7&gt;=$C220+1, (-FV(InflationRate,$BE$7,,$F220)), 0)),0)</f>
        <v>0</v>
      </c>
      <c r="BH220" s="171">
        <f>IF($C220&gt;0,(IF($BE$7&gt;=$C220+1, (-FV(InflationRate,$BE$7,,$G220)), 0)),0)</f>
        <v>0</v>
      </c>
      <c r="BI220" s="160">
        <f>IF($C220&gt;0,(IF($C220=$BI$7,(-FV(InflationRate,$BI$7,,$D220)),0)),0)</f>
        <v>0</v>
      </c>
      <c r="BJ220" s="150">
        <f>IF($C220&gt;0,(IF($BI$7&gt;=$C220+1, (-FV(InflationRate,$BI$7,,$E220)), 0)),0)</f>
        <v>0</v>
      </c>
      <c r="BK220" s="150">
        <f>IF($C220&gt;0,(IF($BI$7&gt;=$C220+1, (-FV(InflationRate,$BI$7,,$F220)), 0)),0)</f>
        <v>0</v>
      </c>
      <c r="BL220" s="176">
        <f>IF($C220&gt;0,(IF($BI$7&gt;=$C220+1, (-FV(InflationRate,$BI$7,,$G220)), 0)),0)</f>
        <v>0</v>
      </c>
      <c r="BM220" s="168">
        <f>IF($C220&gt;0,(IF($C220=$BM$7,(-FV(InflationRate,$BM$7,,$D220)),0)),0)</f>
        <v>0</v>
      </c>
      <c r="BN220" s="149">
        <f>IF($C220&gt;0,(IF($BM$7&gt;=$C220+1, (-FV(InflationRate,$BM$7,,$E220)), 0)),0)</f>
        <v>0</v>
      </c>
      <c r="BO220" s="149">
        <f>IF($C220&gt;0,(IF($BM$7&gt;=$C220+1, (-FV(InflationRate,$BM$7,,$F220)), 0)),0)</f>
        <v>0</v>
      </c>
      <c r="BP220" s="157">
        <f>IF($C220&gt;0,(IF($BM$7&gt;=$C220+1, (-FV(InflationRate,$BM$7,,$G220)), 0)),0)</f>
        <v>0</v>
      </c>
      <c r="BQ220" s="160">
        <f>IF($C220&gt;0,(IF($C220=$BQ$7,(-FV(InflationRate,$BQ$7,,$D220)),0)),0)</f>
        <v>0</v>
      </c>
      <c r="BR220" s="150">
        <f>IF($C220&gt;0,(IF($BQ$7&gt;=$C220+1, (-FV(InflationRate,$BQ$7,,$E220)), 0)),0)</f>
        <v>0</v>
      </c>
      <c r="BS220" s="150">
        <f>IF($C220&gt;0,(IF($BQ$7&gt;=$C220+1, (-FV(InflationRate,$BQ$7,,$F220)), 0)),0)</f>
        <v>0</v>
      </c>
      <c r="BT220" s="176">
        <f>IF($C220&gt;0,(IF($BQ$7&gt;=$C220+1, (-FV(InflationRate,$BQ$7,,$G220)), 0)),0)</f>
        <v>0</v>
      </c>
      <c r="BU220" s="168">
        <f>IF($C220&gt;0,(IF($C220=$BU$7,(-FV(InflationRate,$BU$7,,$D220)),0)),0)</f>
        <v>0</v>
      </c>
      <c r="BV220" s="149">
        <f>IF($C220&gt;0,(IF($BU$7&gt;=$C220+1, (-FV(InflationRate,$BU$7,,$E220)), 0)),0)</f>
        <v>0</v>
      </c>
      <c r="BW220" s="149">
        <f>IF($C220&gt;0,(IF($BU$7&gt;=$C220+1, (-FV(InflationRate,$BU$7,,$F220)), 0)),0)</f>
        <v>0</v>
      </c>
      <c r="BX220" s="157">
        <f>IF($C220&gt;0,(IF($BU$7&gt;=$C220+1, (-FV(InflationRate,$BU$7,,$G220)), 0)),0)</f>
        <v>0</v>
      </c>
      <c r="BY220" s="160">
        <f>IF($C220&gt;0,(IF($C220=$BY$7,(-FV(InflationRate,$BY$7,,$D220)),0)),0)</f>
        <v>0</v>
      </c>
      <c r="BZ220" s="150">
        <f>IF($C220&gt;0,(IF($BY$7&gt;=$C220+1, (-FV(InflationRate,$BY$7,,$E220)), 0)),0)</f>
        <v>0</v>
      </c>
      <c r="CA220" s="150">
        <f>IF($C220&gt;0,(IF($BY$7&gt;=$C220+1, (-FV(InflationRate,$BY$7,,$F220)), 0)),0)</f>
        <v>0</v>
      </c>
      <c r="CB220" s="176">
        <f>IF($C220&gt;0,(IF($BY$7&gt;=$C220+1, (-FV(InflationRate,$BY$7,,$G220)), 0)),0)</f>
        <v>0</v>
      </c>
      <c r="CC220" s="168">
        <f>IF($C220&gt;0,(IF($C220=$CC$7,(-FV(InflationRate,$CC$7,,$D220)),0)),0)</f>
        <v>0</v>
      </c>
      <c r="CD220" s="149">
        <f>IF($C220&gt;0,(IF($CC$7&gt;=$C220+1, (-FV(InflationRate,$CC$7,,$E220)), 0)),0)</f>
        <v>0</v>
      </c>
      <c r="CE220" s="149">
        <f>IF($C220&gt;0,(IF($CC$7&gt;=$C220+1, (-FV(InflationRate,$CC$7,,$F220)), 0)),0)</f>
        <v>0</v>
      </c>
      <c r="CF220" s="157">
        <f>IF($C220&gt;0,(IF($CC$7&gt;=$C220+1, (-FV(InflationRate,$CC$7,,$G220)), 0)),0)</f>
        <v>0</v>
      </c>
      <c r="CG220" s="160">
        <f>IF($C220&gt;0,(IF($C220=$CG$7,(-FV(InflationRate,$CG$7,,$D220)),0)),0)</f>
        <v>0</v>
      </c>
      <c r="CH220" s="150">
        <f>IF($C220&gt;0,(IF($CG$7&gt;=$C220+1, (-FV(InflationRate,$CG$7,,$E220)), 0)),0)</f>
        <v>0</v>
      </c>
      <c r="CI220" s="150">
        <f>IF($C220&gt;0,(IF($CG$7&gt;=$C220+1, (-FV(InflationRate,$CG$7,,$F220)), 0)),0)</f>
        <v>0</v>
      </c>
      <c r="CJ220" s="176">
        <f>IF($C220&gt;0,(IF($CG$7&gt;=$C220+1, (-FV(InflationRate,$CG$7,,$G220)), 0)),0)</f>
        <v>0</v>
      </c>
      <c r="CK220" s="168">
        <f>IF($C220&gt;0,(IF($C220=$CK$7,(-FV(InflationRate,$CK$7,,$D220)),0)),0)</f>
        <v>0</v>
      </c>
      <c r="CL220" s="149">
        <f>IF($C220&gt;0,(IF($CK$7&gt;=$C220+1, (-FV(InflationRate,$CK$7,,$E220)), 0)),0)</f>
        <v>0</v>
      </c>
      <c r="CM220" s="149">
        <f>IF($C220&gt;0,(IF($CK$7&gt;=$C220+1, (-FV(InflationRate,$CK$7,,$F220)), 0)),0)</f>
        <v>0</v>
      </c>
      <c r="CN220" s="157">
        <f>IF($C220&gt;0,(IF($CK$7&gt;=$C220+1, (-FV(InflationRate,$CK$7,,$G220)), 0)),0)</f>
        <v>0</v>
      </c>
      <c r="CO220" s="160">
        <f>IF($C220&gt;0,(IF($C220=$CO$7,(-FV(InflationRate,$CO$7,,$D220)),0)),0)</f>
        <v>0</v>
      </c>
      <c r="CP220" s="150">
        <f>IF($C220&gt;0,(IF($CO$7&gt;=$C220+1, (-FV(InflationRate,$CO$7,,$E220)), 0)),0)</f>
        <v>0</v>
      </c>
      <c r="CQ220" s="150">
        <f>IF($C220&gt;0,(IF($CO$7&gt;=$C220+1, (-FV(InflationRate,$CO$7,,$F220)), 0)),0)</f>
        <v>0</v>
      </c>
      <c r="CR220" s="176">
        <f>IF($C220&gt;0,(IF($CO$7&gt;=$C220+1, (-FV(InflationRate,$CO$7,,$G220)), 0)),0)</f>
        <v>0</v>
      </c>
      <c r="CS220" s="168">
        <f>IF($C220&gt;0,(IF($C220=$CS$7,(-FV(InflationRate,$CS$7,,$D220)),0)),0)</f>
        <v>0</v>
      </c>
      <c r="CT220" s="149">
        <f>IF($C220&gt;0,(IF($CS$7&gt;=$C220+1, (-FV(InflationRate,$CS$7,,$E220)), 0)),0)</f>
        <v>0</v>
      </c>
      <c r="CU220" s="149">
        <f>IF($C220&gt;0,(IF($CS$7&gt;=$C220+1, (-FV(InflationRate,$CS$7,,$F220)), 0)),0)</f>
        <v>0</v>
      </c>
      <c r="CV220" s="157">
        <f>IF($C220&gt;0,(IF($CS$7&gt;=$C220+1, (-FV(InflationRate,$CS$7,,$G220)), 0)),0)</f>
        <v>0</v>
      </c>
      <c r="CW220" s="160">
        <f>IF($C220&gt;0,(IF($C220=$CW$7,(-FV(InflationRate,$CW$7,,$D220)),0)),0)</f>
        <v>0</v>
      </c>
      <c r="CX220" s="150">
        <f>IF($C220&gt;0,(IF($CW$7&gt;=$C220+1, (-FV(InflationRate,$CW$7,,$E220)), 0)),0)</f>
        <v>0</v>
      </c>
      <c r="CY220" s="150">
        <f>IF($C220&gt;0,(IF($CW$7&gt;=$C220+1, (-FV(InflationRate,$CW$7,,$F220)), 0)),0)</f>
        <v>0</v>
      </c>
      <c r="CZ220" s="176">
        <f>IF($C220&gt;0,(IF($CW$7&gt;=$C220+1, (-FV(InflationRate,$CW$7,,$G220)), 0)),0)</f>
        <v>0</v>
      </c>
      <c r="DA220" s="168">
        <f>IF($C220&gt;0,(IF($C220=$DA$7,(-FV(InflationRate,$DA$7,,$D220)),0)),0)</f>
        <v>0</v>
      </c>
      <c r="DB220" s="149">
        <f>IF($C220&gt;0,(IF($DA$7&gt;=$C220+1, (-FV(InflationRate,$DA$7,,$E220)), 0)),0)</f>
        <v>0</v>
      </c>
      <c r="DC220" s="149">
        <f>IF($C220&gt;0,(IF($DA$7&gt;=$C220+1, (-FV(InflationRate,$DA$7,,$F220)), 0)),0)</f>
        <v>0</v>
      </c>
      <c r="DD220" s="157">
        <f>IF($C220&gt;0,(IF($DA$7&gt;=$C220+1, (-FV(InflationRate,$DA$7,,$G220)), 0)),0)</f>
        <v>0</v>
      </c>
    </row>
    <row r="221" spans="2:108" hidden="1" x14ac:dyDescent="0.2">
      <c r="B221" s="182"/>
      <c r="C221" s="189"/>
      <c r="D221" s="168"/>
      <c r="E221" s="149"/>
      <c r="F221" s="149"/>
      <c r="G221" s="149"/>
      <c r="H221" s="168"/>
      <c r="I221" s="600"/>
      <c r="J221" s="600"/>
      <c r="K221" s="600"/>
      <c r="L221" s="600"/>
      <c r="M221" s="600"/>
      <c r="N221" s="600"/>
      <c r="O221" s="600"/>
      <c r="P221" s="600"/>
      <c r="Q221" s="600"/>
      <c r="R221" s="600"/>
      <c r="S221" s="600"/>
      <c r="T221" s="600"/>
      <c r="U221" s="600"/>
      <c r="V221" s="600"/>
      <c r="W221" s="600"/>
      <c r="X221" s="600"/>
      <c r="Y221" s="600"/>
      <c r="Z221" s="600"/>
      <c r="AA221" s="600"/>
      <c r="AB221" s="601"/>
      <c r="AC221" s="160"/>
      <c r="AD221" s="150"/>
      <c r="AE221" s="150"/>
      <c r="AF221" s="165"/>
      <c r="AG221" s="168"/>
      <c r="AH221" s="149"/>
      <c r="AI221" s="149"/>
      <c r="AJ221" s="171"/>
      <c r="AK221" s="160"/>
      <c r="AL221" s="150"/>
      <c r="AM221" s="150"/>
      <c r="AN221" s="165"/>
      <c r="AO221" s="168"/>
      <c r="AP221" s="149"/>
      <c r="AQ221" s="149"/>
      <c r="AR221" s="157"/>
      <c r="AS221" s="160"/>
      <c r="AT221" s="150"/>
      <c r="AU221" s="150"/>
      <c r="AV221" s="165"/>
      <c r="AW221" s="168"/>
      <c r="AX221" s="149"/>
      <c r="AY221" s="149"/>
      <c r="AZ221" s="157"/>
      <c r="BA221" s="160"/>
      <c r="BB221" s="150"/>
      <c r="BC221" s="150"/>
      <c r="BD221" s="176"/>
      <c r="BE221" s="168"/>
      <c r="BF221" s="149"/>
      <c r="BG221" s="149"/>
      <c r="BH221" s="171"/>
      <c r="BI221" s="160"/>
      <c r="BJ221" s="150"/>
      <c r="BK221" s="150"/>
      <c r="BL221" s="176"/>
      <c r="BM221" s="168"/>
      <c r="BN221" s="149"/>
      <c r="BO221" s="149"/>
      <c r="BP221" s="157"/>
      <c r="BQ221" s="160"/>
      <c r="BR221" s="150"/>
      <c r="BS221" s="150"/>
      <c r="BT221" s="176"/>
      <c r="BU221" s="168"/>
      <c r="BV221" s="149"/>
      <c r="BW221" s="149"/>
      <c r="BX221" s="157"/>
      <c r="BY221" s="160"/>
      <c r="BZ221" s="150"/>
      <c r="CA221" s="150"/>
      <c r="CB221" s="176"/>
      <c r="CC221" s="168"/>
      <c r="CD221" s="149"/>
      <c r="CE221" s="149"/>
      <c r="CF221" s="157"/>
      <c r="CG221" s="160"/>
      <c r="CH221" s="150"/>
      <c r="CI221" s="150"/>
      <c r="CJ221" s="176"/>
      <c r="CK221" s="168"/>
      <c r="CL221" s="149"/>
      <c r="CM221" s="149"/>
      <c r="CN221" s="157"/>
      <c r="CO221" s="160"/>
      <c r="CP221" s="150"/>
      <c r="CQ221" s="150"/>
      <c r="CR221" s="176"/>
      <c r="CS221" s="168"/>
      <c r="CT221" s="149"/>
      <c r="CU221" s="149"/>
      <c r="CV221" s="157"/>
      <c r="CW221" s="160"/>
      <c r="CX221" s="150"/>
      <c r="CY221" s="150"/>
      <c r="CZ221" s="176"/>
      <c r="DA221" s="168"/>
      <c r="DB221" s="149"/>
      <c r="DC221" s="149"/>
      <c r="DD221" s="157"/>
    </row>
    <row r="222" spans="2:108" hidden="1" x14ac:dyDescent="0.2">
      <c r="B222" s="182" t="str">
        <f>'PRB - S4'!B5</f>
        <v>Permeable Reactive Barriers - Site 4</v>
      </c>
      <c r="C222" s="189"/>
      <c r="D222" s="194">
        <f>'PRB - S4'!F34</f>
        <v>0</v>
      </c>
      <c r="E222" s="195">
        <f>'PRB - S4'!F63</f>
        <v>0</v>
      </c>
      <c r="F222" s="195">
        <f>'PRB - S4'!F94</f>
        <v>0</v>
      </c>
      <c r="G222" s="195">
        <f>'PRB - S4'!F123</f>
        <v>0</v>
      </c>
      <c r="H222" s="168"/>
      <c r="I222" s="600"/>
      <c r="J222" s="600"/>
      <c r="K222" s="600"/>
      <c r="L222" s="600"/>
      <c r="M222" s="600"/>
      <c r="N222" s="600"/>
      <c r="O222" s="600"/>
      <c r="P222" s="600"/>
      <c r="Q222" s="600"/>
      <c r="R222" s="600"/>
      <c r="S222" s="600"/>
      <c r="T222" s="600"/>
      <c r="U222" s="600"/>
      <c r="V222" s="600"/>
      <c r="W222" s="600"/>
      <c r="X222" s="600"/>
      <c r="Y222" s="600"/>
      <c r="Z222" s="600"/>
      <c r="AA222" s="600"/>
      <c r="AB222" s="601"/>
      <c r="AC222" s="160"/>
      <c r="AD222" s="150"/>
      <c r="AE222" s="150"/>
      <c r="AF222" s="165"/>
      <c r="AG222" s="168"/>
      <c r="AH222" s="149"/>
      <c r="AI222" s="149"/>
      <c r="AJ222" s="171"/>
      <c r="AK222" s="160"/>
      <c r="AL222" s="150"/>
      <c r="AM222" s="150"/>
      <c r="AN222" s="165"/>
      <c r="AO222" s="168"/>
      <c r="AP222" s="149"/>
      <c r="AQ222" s="149"/>
      <c r="AR222" s="157"/>
      <c r="AS222" s="160"/>
      <c r="AT222" s="150"/>
      <c r="AU222" s="150"/>
      <c r="AV222" s="165"/>
      <c r="AW222" s="168"/>
      <c r="AX222" s="149"/>
      <c r="AY222" s="149"/>
      <c r="AZ222" s="157"/>
      <c r="BA222" s="160"/>
      <c r="BB222" s="150"/>
      <c r="BC222" s="150"/>
      <c r="BD222" s="176"/>
      <c r="BE222" s="168"/>
      <c r="BF222" s="149"/>
      <c r="BG222" s="149"/>
      <c r="BH222" s="171"/>
      <c r="BI222" s="160"/>
      <c r="BJ222" s="150"/>
      <c r="BK222" s="150"/>
      <c r="BL222" s="176"/>
      <c r="BM222" s="168"/>
      <c r="BN222" s="149"/>
      <c r="BO222" s="149"/>
      <c r="BP222" s="157"/>
      <c r="BQ222" s="160"/>
      <c r="BR222" s="150"/>
      <c r="BS222" s="150"/>
      <c r="BT222" s="176"/>
      <c r="BU222" s="168"/>
      <c r="BV222" s="149"/>
      <c r="BW222" s="149"/>
      <c r="BX222" s="157"/>
      <c r="BY222" s="160"/>
      <c r="BZ222" s="150"/>
      <c r="CA222" s="150"/>
      <c r="CB222" s="176"/>
      <c r="CC222" s="168"/>
      <c r="CD222" s="149"/>
      <c r="CE222" s="149"/>
      <c r="CF222" s="157"/>
      <c r="CG222" s="160"/>
      <c r="CH222" s="150"/>
      <c r="CI222" s="150"/>
      <c r="CJ222" s="176"/>
      <c r="CK222" s="168"/>
      <c r="CL222" s="149"/>
      <c r="CM222" s="149"/>
      <c r="CN222" s="157"/>
      <c r="CO222" s="160"/>
      <c r="CP222" s="150"/>
      <c r="CQ222" s="150"/>
      <c r="CR222" s="176"/>
      <c r="CS222" s="168"/>
      <c r="CT222" s="149"/>
      <c r="CU222" s="149"/>
      <c r="CV222" s="157"/>
      <c r="CW222" s="160"/>
      <c r="CX222" s="150"/>
      <c r="CY222" s="150"/>
      <c r="CZ222" s="176"/>
      <c r="DA222" s="168"/>
      <c r="DB222" s="149"/>
      <c r="DC222" s="149"/>
      <c r="DD222" s="157"/>
    </row>
    <row r="223" spans="2:108" hidden="1" x14ac:dyDescent="0.2">
      <c r="B223" s="183" t="s">
        <v>220</v>
      </c>
      <c r="C223" s="556"/>
      <c r="D223" s="168">
        <f>'PRB - S4'!F31+'PRB - S4'!F32</f>
        <v>0</v>
      </c>
      <c r="E223" s="149"/>
      <c r="F223" s="149"/>
      <c r="G223" s="149"/>
      <c r="H223" s="168">
        <f>SUM(I223:AB223)</f>
        <v>0</v>
      </c>
      <c r="I223" s="610">
        <f>-PV(InterestRate,I$8,,(SUM(AC223:AF223)))</f>
        <v>0</v>
      </c>
      <c r="J223" s="610">
        <f>-PV(InterestRate,J$8,,(SUM(AG223:AJ223)))</f>
        <v>0</v>
      </c>
      <c r="K223" s="610">
        <f>-PV(InterestRate,K$8,,(SUM(AK223:AN223)))</f>
        <v>0</v>
      </c>
      <c r="L223" s="610">
        <f>-PV(InterestRate,L$8,,(SUM(AO223:AR223)))</f>
        <v>0</v>
      </c>
      <c r="M223" s="610">
        <f>-PV(InterestRate,M$8,,(SUM(AS223:AV223)))</f>
        <v>0</v>
      </c>
      <c r="N223" s="610">
        <f>-PV(InterestRate,N$8,,(SUM(AW223:AZ223)))</f>
        <v>0</v>
      </c>
      <c r="O223" s="610">
        <f>-PV(InterestRate,O$8,,(SUM(BA223:BD223)))</f>
        <v>0</v>
      </c>
      <c r="P223" s="610">
        <f>-PV(InterestRate,P$8,,(SUM(BE223:BH223)))</f>
        <v>0</v>
      </c>
      <c r="Q223" s="610">
        <f>-PV(InterestRate,Q$8,,(SUM(BI223:BL223)))</f>
        <v>0</v>
      </c>
      <c r="R223" s="610">
        <f>-PV(InterestRate,R$8,,(SUM(BM223:BP223)))</f>
        <v>0</v>
      </c>
      <c r="S223" s="610">
        <f>-PV(InterestRate,S$8,,(SUM(BQ223:BT223)))</f>
        <v>0</v>
      </c>
      <c r="T223" s="610">
        <f>-PV(InterestRate,T$8,,(SUM(BU223:BX223)))</f>
        <v>0</v>
      </c>
      <c r="U223" s="610">
        <f>-PV(InterestRate,U$8,,(SUM(BY223:CB223)))</f>
        <v>0</v>
      </c>
      <c r="V223" s="610">
        <f>-PV(InterestRate,V$8,,(SUM(CC223:CF223)))</f>
        <v>0</v>
      </c>
      <c r="W223" s="610">
        <f>-PV(InterestRate,W$8,,(SUM(CG223:CJ223)))</f>
        <v>0</v>
      </c>
      <c r="X223" s="610">
        <f>-PV(InterestRate,X$8,,(SUM(CK223:CN223)))</f>
        <v>0</v>
      </c>
      <c r="Y223" s="610">
        <f>-PV(InterestRate,Y$8,,(SUM(CO223:CR223)))</f>
        <v>0</v>
      </c>
      <c r="Z223" s="610">
        <f>-PV(InterestRate,Z$8,,(SUM(CS223:CV223)))</f>
        <v>0</v>
      </c>
      <c r="AA223" s="610">
        <f>-PV(InterestRate,AA$8,,(SUM(CW223:CZ223)))</f>
        <v>0</v>
      </c>
      <c r="AB223" s="611">
        <f>-PV(InterestRate,AB$8,,(SUM(DA223:DD223)))</f>
        <v>0</v>
      </c>
      <c r="AC223" s="160"/>
      <c r="AD223" s="150"/>
      <c r="AE223" s="150"/>
      <c r="AF223" s="165"/>
      <c r="AG223" s="168"/>
      <c r="AH223" s="149"/>
      <c r="AI223" s="149"/>
      <c r="AJ223" s="171"/>
      <c r="AK223" s="160"/>
      <c r="AL223" s="150"/>
      <c r="AM223" s="150"/>
      <c r="AN223" s="165"/>
      <c r="AO223" s="168">
        <f>IF($C223&gt;0,(IF($C223=$AO$7,(-FV(InflationRate,$AO$7,,$D223)),0)),0)</f>
        <v>0</v>
      </c>
      <c r="AP223" s="149">
        <f>IF($C223&gt;0,(IF($AO$7&gt;=$C223+1, (-FV(InflationRate,$AO$7,,$E223)), 0)),0)</f>
        <v>0</v>
      </c>
      <c r="AQ223" s="149">
        <f>IF($C223&gt;0,(IF($AO$7&gt;=$C223+1, (-FV(InflationRate,$AO$7,,$F223)), 0)),0)</f>
        <v>0</v>
      </c>
      <c r="AR223" s="157">
        <f>IF($C223&gt;0,(IF($AO$7&gt;=$C223+1, (-FV(InflationRate,$AO$7,,$G223)), 0)),0)</f>
        <v>0</v>
      </c>
      <c r="AS223" s="160">
        <f>IF($C223&gt;0,(IF($C223=$AS$7,(-FV(InflationRate,$AS$7,,$D223)),0)),0)</f>
        <v>0</v>
      </c>
      <c r="AT223" s="150">
        <f>IF($C223&gt;0,(IF($AS$7&gt;=$C223+1, (-FV(InflationRate,$AS$7,,$E223)), 0)),0)</f>
        <v>0</v>
      </c>
      <c r="AU223" s="150">
        <f>IF($C223&gt;0,(IF($AS$7&gt;=$C223+1, (-FV(InflationRate,$AS$7,,$F223)), 0)),0)</f>
        <v>0</v>
      </c>
      <c r="AV223" s="165">
        <f>IF($C223&gt;0,(IF($AS$7&gt;=$C223+1, (-FV(InflationRate,$AS$7,,$G223)), 0)),0)</f>
        <v>0</v>
      </c>
      <c r="AW223" s="168">
        <f>IF($C223&gt;0,(IF($C223=$AW$7,(-FV(InflationRate,$AW$7,,$D223)),0)),0)</f>
        <v>0</v>
      </c>
      <c r="AX223" s="149">
        <f>IF($C223&gt;0,(IF($AW$7&gt;=$C223+1, (-FV(InflationRate,$AW$7,,$E223)), 0)),0)</f>
        <v>0</v>
      </c>
      <c r="AY223" s="149">
        <f>IF($C223&gt;0,(IF($AW$7&gt;=$C223+1, (-FV(InflationRate,$AW$7,,$F223)), 0)),0)</f>
        <v>0</v>
      </c>
      <c r="AZ223" s="157">
        <f>IF($C223&gt;0,(IF($AW$7&gt;=$C223+1, (-FV(InflationRate,$AW$7,,$G223)), 0)),0)</f>
        <v>0</v>
      </c>
      <c r="BA223" s="160">
        <f>IF($C223&gt;0,(IF($C223=$BA$7,(-FV(InflationRate,$BA$7,,$D223)),0)),0)</f>
        <v>0</v>
      </c>
      <c r="BB223" s="150">
        <f>IF($C223&gt;0,(IF($BA$7&gt;=$C223+1, (-FV(InflationRate,$BA$7,,$E223)), 0)),0)</f>
        <v>0</v>
      </c>
      <c r="BC223" s="150">
        <f>IF($C223&gt;0,(IF($BA$7&gt;=$C223+1, (-FV(InflationRate,$BA$7,,$F223)), 0)),0)</f>
        <v>0</v>
      </c>
      <c r="BD223" s="176">
        <f>IF($C223&gt;0,(IF($BA$7&gt;=$C223+1, (-FV(InflationRate,$BA$7,,$G223)), 0)),0)</f>
        <v>0</v>
      </c>
      <c r="BE223" s="168">
        <f>IF($C223&gt;0,(IF($C223=$BE$7,(-FV(InflationRate,$BE$7,,$D223)),0)),0)</f>
        <v>0</v>
      </c>
      <c r="BF223" s="149">
        <f>IF($C223&gt;0,(IF($BE$7&gt;=$C223+1, (-FV(InflationRate,$BE$7,,$E223)), 0)),0)</f>
        <v>0</v>
      </c>
      <c r="BG223" s="149">
        <f>IF($C223&gt;0,(IF($BE$7&gt;=$C223+1, (-FV(InflationRate,$BE$7,,$F223)), 0)),0)</f>
        <v>0</v>
      </c>
      <c r="BH223" s="171">
        <f>IF($C223&gt;0,(IF($BE$7&gt;=$C223+1, (-FV(InflationRate,$BE$7,,$G223)), 0)),0)</f>
        <v>0</v>
      </c>
      <c r="BI223" s="160">
        <f>IF($C223&gt;0,(IF($C223=$BI$7,(-FV(InflationRate,$BI$7,,$D223)),0)),0)</f>
        <v>0</v>
      </c>
      <c r="BJ223" s="150">
        <f>IF($C223&gt;0,(IF($BI$7&gt;=$C223+1, (-FV(InflationRate,$BI$7,,$E223)), 0)),0)</f>
        <v>0</v>
      </c>
      <c r="BK223" s="150">
        <f>IF($C223&gt;0,(IF($BI$7&gt;=$C223+1, (-FV(InflationRate,$BI$7,,$F223)), 0)),0)</f>
        <v>0</v>
      </c>
      <c r="BL223" s="176">
        <f>IF($C223&gt;0,(IF($BI$7&gt;=$C223+1, (-FV(InflationRate,$BI$7,,$G223)), 0)),0)</f>
        <v>0</v>
      </c>
      <c r="BM223" s="168">
        <f>IF($C223&gt;0,(IF($C223=$BM$7,(-FV(InflationRate,$BM$7,,$D223)),0)),0)</f>
        <v>0</v>
      </c>
      <c r="BN223" s="149">
        <f>IF($C223&gt;0,(IF($BM$7&gt;=$C223+1, (-FV(InflationRate,$BM$7,,$E223)), 0)),0)</f>
        <v>0</v>
      </c>
      <c r="BO223" s="149">
        <f>IF($C223&gt;0,(IF($BM$7&gt;=$C223+1, (-FV(InflationRate,$BM$7,,$F223)), 0)),0)</f>
        <v>0</v>
      </c>
      <c r="BP223" s="157">
        <f>IF($C223&gt;0,(IF($BM$7&gt;=$C223+1, (-FV(InflationRate,$BM$7,,$G223)), 0)),0)</f>
        <v>0</v>
      </c>
      <c r="BQ223" s="160">
        <f>IF($C223&gt;0,(IF($C223=$BQ$7,(-FV(InflationRate,$BQ$7,,$D223)),0)),0)</f>
        <v>0</v>
      </c>
      <c r="BR223" s="150">
        <f>IF($C223&gt;0,(IF($BQ$7&gt;=$C223+1, (-FV(InflationRate,$BQ$7,,$E223)), 0)),0)</f>
        <v>0</v>
      </c>
      <c r="BS223" s="150">
        <f>IF($C223&gt;0,(IF($BQ$7&gt;=$C223+1, (-FV(InflationRate,$BQ$7,,$F223)), 0)),0)</f>
        <v>0</v>
      </c>
      <c r="BT223" s="176">
        <f>IF($C223&gt;0,(IF($BQ$7&gt;=$C223+1, (-FV(InflationRate,$BQ$7,,$G223)), 0)),0)</f>
        <v>0</v>
      </c>
      <c r="BU223" s="168">
        <f>IF($C223&gt;0,(IF($C223=$BU$7,(-FV(InflationRate,$BU$7,,$D223)),0)),0)</f>
        <v>0</v>
      </c>
      <c r="BV223" s="149">
        <f>IF($C223&gt;0,(IF($BU$7&gt;=$C223+1, (-FV(InflationRate,$BU$7,,$E223)), 0)),0)</f>
        <v>0</v>
      </c>
      <c r="BW223" s="149">
        <f>IF($C223&gt;0,(IF($BU$7&gt;=$C223+1, (-FV(InflationRate,$BU$7,,$F223)), 0)),0)</f>
        <v>0</v>
      </c>
      <c r="BX223" s="157">
        <f>IF($C223&gt;0,(IF($BU$7&gt;=$C223+1, (-FV(InflationRate,$BU$7,,$G223)), 0)),0)</f>
        <v>0</v>
      </c>
      <c r="BY223" s="160">
        <f>IF($C223&gt;0,(IF($C223=$BY$7,(-FV(InflationRate,$BY$7,,$D223)),0)),0)</f>
        <v>0</v>
      </c>
      <c r="BZ223" s="150">
        <f>IF($C223&gt;0,(IF($BY$7&gt;=$C223+1, (-FV(InflationRate,$BY$7,,$E223)), 0)),0)</f>
        <v>0</v>
      </c>
      <c r="CA223" s="150">
        <f>IF($C223&gt;0,(IF($BY$7&gt;=$C223+1, (-FV(InflationRate,$BY$7,,$F223)), 0)),0)</f>
        <v>0</v>
      </c>
      <c r="CB223" s="176">
        <f>IF($C223&gt;0,(IF($BY$7&gt;=$C223+1, (-FV(InflationRate,$BY$7,,$G223)), 0)),0)</f>
        <v>0</v>
      </c>
      <c r="CC223" s="168">
        <f>IF($C223&gt;0,(IF($C223=$CC$7,(-FV(InflationRate,$CC$7,,$D223)),0)),0)</f>
        <v>0</v>
      </c>
      <c r="CD223" s="149">
        <f>IF($C223&gt;0,(IF($CC$7&gt;=$C223+1, (-FV(InflationRate,$CC$7,,$E223)), 0)),0)</f>
        <v>0</v>
      </c>
      <c r="CE223" s="149">
        <f>IF($C223&gt;0,(IF($CC$7&gt;=$C223+1, (-FV(InflationRate,$CC$7,,$F223)), 0)),0)</f>
        <v>0</v>
      </c>
      <c r="CF223" s="157">
        <f>IF($C223&gt;0,(IF($CC$7&gt;=$C223+1, (-FV(InflationRate,$CC$7,,$G223)), 0)),0)</f>
        <v>0</v>
      </c>
      <c r="CG223" s="160">
        <f>IF($C223&gt;0,(IF($C223=$CG$7,(-FV(InflationRate,$CG$7,,$D223)),0)),0)</f>
        <v>0</v>
      </c>
      <c r="CH223" s="150">
        <f>IF($C223&gt;0,(IF($CG$7&gt;=$C223+1, (-FV(InflationRate,$CG$7,,$E223)), 0)),0)</f>
        <v>0</v>
      </c>
      <c r="CI223" s="150">
        <f>IF($C223&gt;0,(IF($CG$7&gt;=$C223+1, (-FV(InflationRate,$CG$7,,$F223)), 0)),0)</f>
        <v>0</v>
      </c>
      <c r="CJ223" s="176">
        <f>IF($C223&gt;0,(IF($CG$7&gt;=$C223+1, (-FV(InflationRate,$CG$7,,$G223)), 0)),0)</f>
        <v>0</v>
      </c>
      <c r="CK223" s="168">
        <f>IF($C223&gt;0,(IF($C223=$CK$7,(-FV(InflationRate,$CK$7,,$D223)),0)),0)</f>
        <v>0</v>
      </c>
      <c r="CL223" s="149">
        <f>IF($C223&gt;0,(IF($CK$7&gt;=$C223+1, (-FV(InflationRate,$CK$7,,$E223)), 0)),0)</f>
        <v>0</v>
      </c>
      <c r="CM223" s="149">
        <f>IF($C223&gt;0,(IF($CK$7&gt;=$C223+1, (-FV(InflationRate,$CK$7,,$F223)), 0)),0)</f>
        <v>0</v>
      </c>
      <c r="CN223" s="157">
        <f>IF($C223&gt;0,(IF($CK$7&gt;=$C223+1, (-FV(InflationRate,$CK$7,,$G223)), 0)),0)</f>
        <v>0</v>
      </c>
      <c r="CO223" s="160">
        <f>IF($C223&gt;0,(IF($C223=$CO$7,(-FV(InflationRate,$CO$7,,$D223)),0)),0)</f>
        <v>0</v>
      </c>
      <c r="CP223" s="150">
        <f>IF($C223&gt;0,(IF($CO$7&gt;=$C223+1, (-FV(InflationRate,$CO$7,,$E223)), 0)),0)</f>
        <v>0</v>
      </c>
      <c r="CQ223" s="150">
        <f>IF($C223&gt;0,(IF($CO$7&gt;=$C223+1, (-FV(InflationRate,$CO$7,,$F223)), 0)),0)</f>
        <v>0</v>
      </c>
      <c r="CR223" s="176">
        <f>IF($C223&gt;0,(IF($CO$7&gt;=$C223+1, (-FV(InflationRate,$CO$7,,$G223)), 0)),0)</f>
        <v>0</v>
      </c>
      <c r="CS223" s="168">
        <f>IF($C223&gt;0,(IF($C223=$CS$7,(-FV(InflationRate,$CS$7,,$D223)),0)),0)</f>
        <v>0</v>
      </c>
      <c r="CT223" s="149">
        <f>IF($C223&gt;0,(IF($CS$7&gt;=$C223+1, (-FV(InflationRate,$CS$7,,$E223)), 0)),0)</f>
        <v>0</v>
      </c>
      <c r="CU223" s="149">
        <f>IF($C223&gt;0,(IF($CS$7&gt;=$C223+1, (-FV(InflationRate,$CS$7,,$F223)), 0)),0)</f>
        <v>0</v>
      </c>
      <c r="CV223" s="157">
        <f>IF($C223&gt;0,(IF($CS$7&gt;=$C223+1, (-FV(InflationRate,$CS$7,,$G223)), 0)),0)</f>
        <v>0</v>
      </c>
      <c r="CW223" s="160">
        <f>IF($C223&gt;0,(IF($C223=$CW$7,(-FV(InflationRate,$CW$7,,$D223)),0)),0)</f>
        <v>0</v>
      </c>
      <c r="CX223" s="150">
        <f>IF($C223&gt;0,(IF($CW$7&gt;=$C223+1, (-FV(InflationRate,$CW$7,,$E223)), 0)),0)</f>
        <v>0</v>
      </c>
      <c r="CY223" s="150">
        <f>IF($C223&gt;0,(IF($CW$7&gt;=$C223+1, (-FV(InflationRate,$CW$7,,$F223)), 0)),0)</f>
        <v>0</v>
      </c>
      <c r="CZ223" s="176">
        <f>IF($C223&gt;0,(IF($CW$7&gt;=$C223+1, (-FV(InflationRate,$CW$7,,$G223)), 0)),0)</f>
        <v>0</v>
      </c>
      <c r="DA223" s="168">
        <f>IF($C223&gt;0,(IF($C223=$DA$7,(-FV(InflationRate,$DA$7,,$D223)),0)),0)</f>
        <v>0</v>
      </c>
      <c r="DB223" s="149">
        <f>IF($C223&gt;0,(IF($DA$7&gt;=$C223+1, (-FV(InflationRate,$DA$7,,$E223)), 0)),0)</f>
        <v>0</v>
      </c>
      <c r="DC223" s="149">
        <f>IF($C223&gt;0,(IF($DA$7&gt;=$C223+1, (-FV(InflationRate,$DA$7,,$F223)), 0)),0)</f>
        <v>0</v>
      </c>
      <c r="DD223" s="157">
        <f>IF($C223&gt;0,(IF($DA$7&gt;=$C223+1, (-FV(InflationRate,$DA$7,,$G223)), 0)),0)</f>
        <v>0</v>
      </c>
    </row>
    <row r="224" spans="2:108" hidden="1" x14ac:dyDescent="0.2">
      <c r="B224" s="183" t="s">
        <v>270</v>
      </c>
      <c r="C224" s="556"/>
      <c r="D224" s="168">
        <f>D222-D223</f>
        <v>0</v>
      </c>
      <c r="E224" s="149">
        <f>E222</f>
        <v>0</v>
      </c>
      <c r="F224" s="149"/>
      <c r="G224" s="149">
        <f>G222</f>
        <v>0</v>
      </c>
      <c r="H224" s="168">
        <f>SUM(I224:AB224)</f>
        <v>0</v>
      </c>
      <c r="I224" s="610">
        <f>-PV(InterestRate,I$8,,(SUM(AC224:AF224)))</f>
        <v>0</v>
      </c>
      <c r="J224" s="610">
        <f>-PV(InterestRate,J$8,,(SUM(AG224:AJ224)))</f>
        <v>0</v>
      </c>
      <c r="K224" s="610">
        <f>-PV(InterestRate,K$8,,(SUM(AK224:AN224)))</f>
        <v>0</v>
      </c>
      <c r="L224" s="610">
        <f>-PV(InterestRate,L$8,,(SUM(AO224:AR224)))</f>
        <v>0</v>
      </c>
      <c r="M224" s="610">
        <f>-PV(InterestRate,M$8,,(SUM(AS224:AV224)))</f>
        <v>0</v>
      </c>
      <c r="N224" s="610">
        <f>-PV(InterestRate,N$8,,(SUM(AW224:AZ224)))</f>
        <v>0</v>
      </c>
      <c r="O224" s="610">
        <f>-PV(InterestRate,O$8,,(SUM(BA224:BD224)))</f>
        <v>0</v>
      </c>
      <c r="P224" s="610">
        <f>-PV(InterestRate,P$8,,(SUM(BE224:BH224)))</f>
        <v>0</v>
      </c>
      <c r="Q224" s="610">
        <f>-PV(InterestRate,Q$8,,(SUM(BI224:BL224)))</f>
        <v>0</v>
      </c>
      <c r="R224" s="610">
        <f>-PV(InterestRate,R$8,,(SUM(BM224:BP224)))</f>
        <v>0</v>
      </c>
      <c r="S224" s="610">
        <f>-PV(InterestRate,S$8,,(SUM(BQ224:BT224)))</f>
        <v>0</v>
      </c>
      <c r="T224" s="610">
        <f>-PV(InterestRate,T$8,,(SUM(BU224:BX224)))</f>
        <v>0</v>
      </c>
      <c r="U224" s="610">
        <f>-PV(InterestRate,U$8,,(SUM(BY224:CB224)))</f>
        <v>0</v>
      </c>
      <c r="V224" s="610">
        <f>-PV(InterestRate,V$8,,(SUM(CC224:CF224)))</f>
        <v>0</v>
      </c>
      <c r="W224" s="610">
        <f>-PV(InterestRate,W$8,,(SUM(CG224:CJ224)))</f>
        <v>0</v>
      </c>
      <c r="X224" s="610">
        <f>-PV(InterestRate,X$8,,(SUM(CK224:CN224)))</f>
        <v>0</v>
      </c>
      <c r="Y224" s="610">
        <f>-PV(InterestRate,Y$8,,(SUM(CO224:CR224)))</f>
        <v>0</v>
      </c>
      <c r="Z224" s="610">
        <f>-PV(InterestRate,Z$8,,(SUM(CS224:CV224)))</f>
        <v>0</v>
      </c>
      <c r="AA224" s="610">
        <f>-PV(InterestRate,AA$8,,(SUM(CW224:CZ224)))</f>
        <v>0</v>
      </c>
      <c r="AB224" s="611">
        <f>-PV(InterestRate,AB$8,,(SUM(DA224:DD224)))</f>
        <v>0</v>
      </c>
      <c r="AC224" s="160"/>
      <c r="AD224" s="150"/>
      <c r="AE224" s="150" t="s">
        <v>274</v>
      </c>
      <c r="AF224" s="165"/>
      <c r="AG224" s="168"/>
      <c r="AH224" s="149"/>
      <c r="AI224" s="149"/>
      <c r="AJ224" s="171"/>
      <c r="AK224" s="160"/>
      <c r="AL224" s="150"/>
      <c r="AM224" s="150"/>
      <c r="AN224" s="165"/>
      <c r="AO224" s="168">
        <f>IF($C224&gt;0,(IF($C224=$AO$7,(-FV(InflationRate,$AO$7,,$D224)),0)),0)</f>
        <v>0</v>
      </c>
      <c r="AP224" s="149">
        <f>IF($C224&gt;0,(IF($AO$7&gt;=$C224+1, (-FV(InflationRate,$AO$7,,$E224)), 0)),0)</f>
        <v>0</v>
      </c>
      <c r="AQ224" s="149">
        <f>IF($C224&gt;0,(IF($AO$7&gt;=$C224+1, (-FV(InflationRate,$AO$7,,$F224)), 0)),0)</f>
        <v>0</v>
      </c>
      <c r="AR224" s="157">
        <f>IF($C224&gt;0,(IF($AO$7&gt;=$C224+1, (-FV(InflationRate,$AO$7,,$G224)), 0)),0)</f>
        <v>0</v>
      </c>
      <c r="AS224" s="160">
        <f>IF($C224&gt;0,(IF($C224=$AS$7,(-FV(InflationRate,$AS$7,,$D224)),0)),0)</f>
        <v>0</v>
      </c>
      <c r="AT224" s="150">
        <f>IF($C224&gt;0,(IF($AS$7&gt;=$C224+1, (-FV(InflationRate,$AS$7,,$E224)), 0)),0)</f>
        <v>0</v>
      </c>
      <c r="AU224" s="150">
        <f>IF($C224&gt;0,(IF($AS$7&gt;=$C224+1, (-FV(InflationRate,$AS$7,,$F224)), 0)),0)</f>
        <v>0</v>
      </c>
      <c r="AV224" s="165">
        <f>IF($C224&gt;0,(IF($AS$7&gt;=$C224+1, (-FV(InflationRate,$AS$7,,$G224)), 0)),0)</f>
        <v>0</v>
      </c>
      <c r="AW224" s="168">
        <f>IF($C224&gt;0,(IF($C224=$AW$7,(-FV(InflationRate,$AW$7,,$D224)),0)),0)</f>
        <v>0</v>
      </c>
      <c r="AX224" s="149">
        <f>IF($C224&gt;0,(IF($AW$7&gt;=$C224+1, (-FV(InflationRate,$AW$7,,$E224)), 0)),0)</f>
        <v>0</v>
      </c>
      <c r="AY224" s="149">
        <f>IF($C224&gt;0,(IF($AW$7&gt;=$C224+1, (-FV(InflationRate,$AW$7,,$F224)), 0)),0)</f>
        <v>0</v>
      </c>
      <c r="AZ224" s="157">
        <f>IF($C224&gt;0,(IF($AW$7&gt;=$C224+1, (-FV(InflationRate,$AW$7,,$G224)), 0)),0)</f>
        <v>0</v>
      </c>
      <c r="BA224" s="160">
        <f>IF($C224&gt;0,(IF($C224=$BA$7,(-FV(InflationRate,$BA$7,,$D224)),0)),0)</f>
        <v>0</v>
      </c>
      <c r="BB224" s="150">
        <f>IF($C224&gt;0,(IF($BA$7&gt;=$C224+1, (-FV(InflationRate,$BA$7,,$E224)), 0)),0)</f>
        <v>0</v>
      </c>
      <c r="BC224" s="150">
        <f>IF($C224&gt;0,(IF($BA$7&gt;=$C224+1, (-FV(InflationRate,$BA$7,,$F224)), 0)),0)</f>
        <v>0</v>
      </c>
      <c r="BD224" s="176">
        <f>IF($C224&gt;0,(IF($BA$7&gt;=$C224+1, (-FV(InflationRate,$BA$7,,$G224)), 0)),0)</f>
        <v>0</v>
      </c>
      <c r="BE224" s="168">
        <f>IF($C224&gt;0,(IF($C224=$BE$7,(-FV(InflationRate,$BE$7,,$D224)),0)),0)</f>
        <v>0</v>
      </c>
      <c r="BF224" s="149">
        <f>IF($C224&gt;0,(IF($BE$7&gt;=$C224+1, (-FV(InflationRate,$BE$7,,$E224)), 0)),0)</f>
        <v>0</v>
      </c>
      <c r="BG224" s="149">
        <f>IF($C224&gt;0,(IF($BE$7&gt;=$C224+1, (-FV(InflationRate,$BE$7,,$F224)), 0)),0)</f>
        <v>0</v>
      </c>
      <c r="BH224" s="171">
        <f>IF($C224&gt;0,(IF($BE$7&gt;=$C224+1, (-FV(InflationRate,$BE$7,,$G224)), 0)),0)</f>
        <v>0</v>
      </c>
      <c r="BI224" s="160">
        <f>IF($C224&gt;0,(IF($C224=$BI$7,(-FV(InflationRate,$BI$7,,$D224)),0)),0)</f>
        <v>0</v>
      </c>
      <c r="BJ224" s="150">
        <f>IF($C224&gt;0,(IF($BI$7&gt;=$C224+1, (-FV(InflationRate,$BI$7,,$E224)), 0)),0)</f>
        <v>0</v>
      </c>
      <c r="BK224" s="150">
        <f>IF($C224&gt;0,(IF($BI$7&gt;=$C224+1, (-FV(InflationRate,$BI$7,,$F224)), 0)),0)</f>
        <v>0</v>
      </c>
      <c r="BL224" s="176">
        <f>IF($C224&gt;0,(IF($BI$7&gt;=$C224+1, (-FV(InflationRate,$BI$7,,$G224)), 0)),0)</f>
        <v>0</v>
      </c>
      <c r="BM224" s="168">
        <f>IF($C224&gt;0,(IF($C224=$BM$7,(-FV(InflationRate,$BM$7,,$D224)),0)),0)</f>
        <v>0</v>
      </c>
      <c r="BN224" s="149">
        <f>IF($C224&gt;0,(IF($BM$7&gt;=$C224+1, (-FV(InflationRate,$BM$7,,$E224)), 0)),0)</f>
        <v>0</v>
      </c>
      <c r="BO224" s="149">
        <f>IF($C224&gt;0,(IF($BM$7&gt;=$C224+1, (-FV(InflationRate,$BM$7,,$F224)), 0)),0)</f>
        <v>0</v>
      </c>
      <c r="BP224" s="157">
        <f>IF($C224&gt;0,(IF($BM$7&gt;=$C224+1, (-FV(InflationRate,$BM$7,,$G224)), 0)),0)</f>
        <v>0</v>
      </c>
      <c r="BQ224" s="160">
        <f>IF($C224&gt;0,(IF($C224=$BQ$7,(-FV(InflationRate,$BQ$7,,$D224)),0)),0)</f>
        <v>0</v>
      </c>
      <c r="BR224" s="150">
        <f>IF($C224&gt;0,(IF($BQ$7&gt;=$C224+1, (-FV(InflationRate,$BQ$7,,$E224)), 0)),0)</f>
        <v>0</v>
      </c>
      <c r="BS224" s="150">
        <f>IF($C224&gt;0,(IF($BQ$7&gt;=$C224+1, (-FV(InflationRate,$BQ$7,,$F224)), 0)),0)</f>
        <v>0</v>
      </c>
      <c r="BT224" s="176">
        <f>IF($C224&gt;0,(IF($BQ$7&gt;=$C224+1, (-FV(InflationRate,$BQ$7,,$G224)), 0)),0)</f>
        <v>0</v>
      </c>
      <c r="BU224" s="168">
        <f>IF($C224&gt;0,(IF($C224=$BU$7,(-FV(InflationRate,$BU$7,,$D224)),0)),0)</f>
        <v>0</v>
      </c>
      <c r="BV224" s="149">
        <f>IF($C224&gt;0,(IF($BU$7&gt;=$C224+1, (-FV(InflationRate,$BU$7,,$E224)), 0)),0)</f>
        <v>0</v>
      </c>
      <c r="BW224" s="149">
        <f>IF($C224&gt;0,(IF($BU$7&gt;=$C224+1, (-FV(InflationRate,$BU$7,,$F224)), 0)),0)</f>
        <v>0</v>
      </c>
      <c r="BX224" s="157">
        <f>IF($C224&gt;0,(IF($BU$7&gt;=$C224+1, (-FV(InflationRate,$BU$7,,$G224)), 0)),0)</f>
        <v>0</v>
      </c>
      <c r="BY224" s="160">
        <f>IF($C224&gt;0,(IF($C224=$BY$7,(-FV(InflationRate,$BY$7,,$D224)),0)),0)</f>
        <v>0</v>
      </c>
      <c r="BZ224" s="150">
        <f>IF($C224&gt;0,(IF($BY$7&gt;=$C224+1, (-FV(InflationRate,$BY$7,,$E224)), 0)),0)</f>
        <v>0</v>
      </c>
      <c r="CA224" s="150">
        <f>IF($C224&gt;0,(IF($BY$7&gt;=$C224+1, (-FV(InflationRate,$BY$7,,$F224)), 0)),0)</f>
        <v>0</v>
      </c>
      <c r="CB224" s="176">
        <f>IF($C224&gt;0,(IF($BY$7&gt;=$C224+1, (-FV(InflationRate,$BY$7,,$G224)), 0)),0)</f>
        <v>0</v>
      </c>
      <c r="CC224" s="168">
        <f>IF($C224&gt;0,(IF($C224=$CC$7,(-FV(InflationRate,$CC$7,,$D224)),0)),0)</f>
        <v>0</v>
      </c>
      <c r="CD224" s="149">
        <f>IF($C224&gt;0,(IF($CC$7&gt;=$C224+1, (-FV(InflationRate,$CC$7,,$E224)), 0)),0)</f>
        <v>0</v>
      </c>
      <c r="CE224" s="149">
        <f>IF($C224&gt;0,(IF($CC$7&gt;=$C224+1, (-FV(InflationRate,$CC$7,,$F224)), 0)),0)</f>
        <v>0</v>
      </c>
      <c r="CF224" s="157">
        <f>IF($C224&gt;0,(IF($CC$7&gt;=$C224+1, (-FV(InflationRate,$CC$7,,$G224)), 0)),0)</f>
        <v>0</v>
      </c>
      <c r="CG224" s="160">
        <f>IF($C224&gt;0,(IF($C224=$CG$7,(-FV(InflationRate,$CG$7,,$D224)),0)),0)</f>
        <v>0</v>
      </c>
      <c r="CH224" s="150">
        <f>IF($C224&gt;0,(IF($CG$7&gt;=$C224+1, (-FV(InflationRate,$CG$7,,$E224)), 0)),0)</f>
        <v>0</v>
      </c>
      <c r="CI224" s="150">
        <f>IF($C224&gt;0,(IF($CG$7&gt;=$C224+1, (-FV(InflationRate,$CG$7,,$F224)), 0)),0)</f>
        <v>0</v>
      </c>
      <c r="CJ224" s="176">
        <f>IF($C224&gt;0,(IF($CG$7&gt;=$C224+1, (-FV(InflationRate,$CG$7,,$G224)), 0)),0)</f>
        <v>0</v>
      </c>
      <c r="CK224" s="168">
        <f>IF($C224&gt;0,(IF($C224=$CK$7,(-FV(InflationRate,$CK$7,,$D224)),0)),0)</f>
        <v>0</v>
      </c>
      <c r="CL224" s="149">
        <f>IF($C224&gt;0,(IF($CK$7&gt;=$C224+1, (-FV(InflationRate,$CK$7,,$E224)), 0)),0)</f>
        <v>0</v>
      </c>
      <c r="CM224" s="149">
        <f>IF($C224&gt;0,(IF($CK$7&gt;=$C224+1, (-FV(InflationRate,$CK$7,,$F224)), 0)),0)</f>
        <v>0</v>
      </c>
      <c r="CN224" s="157">
        <f>IF($C224&gt;0,(IF($CK$7&gt;=$C224+1, (-FV(InflationRate,$CK$7,,$G224)), 0)),0)</f>
        <v>0</v>
      </c>
      <c r="CO224" s="160">
        <f>IF($C224&gt;0,(IF($C224=$CO$7,(-FV(InflationRate,$CO$7,,$D224)),0)),0)</f>
        <v>0</v>
      </c>
      <c r="CP224" s="150">
        <f>IF($C224&gt;0,(IF($CO$7&gt;=$C224+1, (-FV(InflationRate,$CO$7,,$E224)), 0)),0)</f>
        <v>0</v>
      </c>
      <c r="CQ224" s="150">
        <f>IF($C224&gt;0,(IF($CO$7&gt;=$C224+1, (-FV(InflationRate,$CO$7,,$F224)), 0)),0)</f>
        <v>0</v>
      </c>
      <c r="CR224" s="176">
        <f>IF($C224&gt;0,(IF($CO$7&gt;=$C224+1, (-FV(InflationRate,$CO$7,,$G224)), 0)),0)</f>
        <v>0</v>
      </c>
      <c r="CS224" s="168">
        <f>IF($C224&gt;0,(IF($C224=$CS$7,(-FV(InflationRate,$CS$7,,$D224)),0)),0)</f>
        <v>0</v>
      </c>
      <c r="CT224" s="149">
        <f>IF($C224&gt;0,(IF($CS$7&gt;=$C224+1, (-FV(InflationRate,$CS$7,,$E224)), 0)),0)</f>
        <v>0</v>
      </c>
      <c r="CU224" s="149">
        <f>IF($C224&gt;0,(IF($CS$7&gt;=$C224+1, (-FV(InflationRate,$CS$7,,$F224)), 0)),0)</f>
        <v>0</v>
      </c>
      <c r="CV224" s="157">
        <f>IF($C224&gt;0,(IF($CS$7&gt;=$C224+1, (-FV(InflationRate,$CS$7,,$G224)), 0)),0)</f>
        <v>0</v>
      </c>
      <c r="CW224" s="160">
        <f>IF($C224&gt;0,(IF($C224=$CW$7,(-FV(InflationRate,$CW$7,,$D224)),0)),0)</f>
        <v>0</v>
      </c>
      <c r="CX224" s="150">
        <f>IF($C224&gt;0,(IF($CW$7&gt;=$C224+1, (-FV(InflationRate,$CW$7,,$E224)), 0)),0)</f>
        <v>0</v>
      </c>
      <c r="CY224" s="150">
        <f>IF($C224&gt;0,(IF($CW$7&gt;=$C224+1, (-FV(InflationRate,$CW$7,,$F224)), 0)),0)</f>
        <v>0</v>
      </c>
      <c r="CZ224" s="176">
        <f>IF($C224&gt;0,(IF($CW$7&gt;=$C224+1, (-FV(InflationRate,$CW$7,,$G224)), 0)),0)</f>
        <v>0</v>
      </c>
      <c r="DA224" s="168">
        <f>IF($C224&gt;0,(IF($C224=$DA$7,(-FV(InflationRate,$DA$7,,$D224)),0)),0)</f>
        <v>0</v>
      </c>
      <c r="DB224" s="149">
        <f>IF($C224&gt;0,(IF($DA$7&gt;=$C224+1, (-FV(InflationRate,$DA$7,,$E224)), 0)),0)</f>
        <v>0</v>
      </c>
      <c r="DC224" s="149">
        <f>IF($C224&gt;0,(IF($DA$7&gt;=$C224+1, (-FV(InflationRate,$DA$7,,$F224)), 0)),0)</f>
        <v>0</v>
      </c>
      <c r="DD224" s="157">
        <f>IF($C224&gt;0,(IF($DA$7&gt;=$C224+1, (-FV(InflationRate,$DA$7,,$G224)), 0)),0)</f>
        <v>0</v>
      </c>
    </row>
    <row r="225" spans="2:108" hidden="1" x14ac:dyDescent="0.2">
      <c r="B225" s="183" t="s">
        <v>203</v>
      </c>
      <c r="C225" s="556"/>
      <c r="D225" s="168"/>
      <c r="E225" s="149"/>
      <c r="F225" s="149">
        <f>F222</f>
        <v>0</v>
      </c>
      <c r="G225" s="149"/>
      <c r="H225" s="168">
        <f>SUM(I225:AB225)</f>
        <v>0</v>
      </c>
      <c r="I225" s="610">
        <f>-PV(InterestRate,I$8,,(SUM(AC225:AF225)))</f>
        <v>0</v>
      </c>
      <c r="J225" s="610">
        <f>-PV(InterestRate,J$8,,(SUM(AG225:AJ225)))</f>
        <v>0</v>
      </c>
      <c r="K225" s="610">
        <f>-PV(InterestRate,K$8,,(SUM(AK225:AN225)))</f>
        <v>0</v>
      </c>
      <c r="L225" s="610">
        <f>-PV(InterestRate,L$8,,(SUM(AO225:AR225)))</f>
        <v>0</v>
      </c>
      <c r="M225" s="610">
        <f>-PV(InterestRate,M$8,,(SUM(AS225:AV225)))</f>
        <v>0</v>
      </c>
      <c r="N225" s="610">
        <f>-PV(InterestRate,N$8,,(SUM(AW225:AZ225)))</f>
        <v>0</v>
      </c>
      <c r="O225" s="610">
        <f>-PV(InterestRate,O$8,,(SUM(BA225:BD225)))</f>
        <v>0</v>
      </c>
      <c r="P225" s="610">
        <f>-PV(InterestRate,P$8,,(SUM(BE225:BH225)))</f>
        <v>0</v>
      </c>
      <c r="Q225" s="610">
        <f>-PV(InterestRate,Q$8,,(SUM(BI225:BL225)))</f>
        <v>0</v>
      </c>
      <c r="R225" s="610">
        <f>-PV(InterestRate,R$8,,(SUM(BM225:BP225)))</f>
        <v>0</v>
      </c>
      <c r="S225" s="610">
        <f>-PV(InterestRate,S$8,,(SUM(BQ225:BT225)))</f>
        <v>0</v>
      </c>
      <c r="T225" s="610">
        <f>-PV(InterestRate,T$8,,(SUM(BU225:BX225)))</f>
        <v>0</v>
      </c>
      <c r="U225" s="610">
        <f>-PV(InterestRate,U$8,,(SUM(BY225:CB225)))</f>
        <v>0</v>
      </c>
      <c r="V225" s="610">
        <f>-PV(InterestRate,V$8,,(SUM(CC225:CF225)))</f>
        <v>0</v>
      </c>
      <c r="W225" s="610">
        <f>-PV(InterestRate,W$8,,(SUM(CG225:CJ225)))</f>
        <v>0</v>
      </c>
      <c r="X225" s="610">
        <f>-PV(InterestRate,X$8,,(SUM(CK225:CN225)))</f>
        <v>0</v>
      </c>
      <c r="Y225" s="610">
        <f>-PV(InterestRate,Y$8,,(SUM(CO225:CR225)))</f>
        <v>0</v>
      </c>
      <c r="Z225" s="610">
        <f>-PV(InterestRate,Z$8,,(SUM(CS225:CV225)))</f>
        <v>0</v>
      </c>
      <c r="AA225" s="610">
        <f>-PV(InterestRate,AA$8,,(SUM(CW225:CZ225)))</f>
        <v>0</v>
      </c>
      <c r="AB225" s="611">
        <f>-PV(InterestRate,AB$8,,(SUM(DA225:DD225)))</f>
        <v>0</v>
      </c>
      <c r="AC225" s="160"/>
      <c r="AD225" s="150"/>
      <c r="AE225" s="150"/>
      <c r="AF225" s="165"/>
      <c r="AG225" s="168"/>
      <c r="AH225" s="149"/>
      <c r="AI225" s="149"/>
      <c r="AJ225" s="171"/>
      <c r="AK225" s="160"/>
      <c r="AL225" s="150"/>
      <c r="AM225" s="150"/>
      <c r="AN225" s="165"/>
      <c r="AO225" s="168">
        <f>IF($C225&gt;0,(IF($C225=$AO$7,(-FV(InflationRate,$AO$7,,$D225)),0)),0)</f>
        <v>0</v>
      </c>
      <c r="AP225" s="149">
        <f>IF($C225&gt;0,(IF($AO$7&gt;=$C225+1, (-FV(InflationRate,$AO$7,,$E225)), 0)),0)</f>
        <v>0</v>
      </c>
      <c r="AQ225" s="149">
        <f>IF($C225&gt;0,(IF($AO$7&gt;=$C225+1, (-FV(InflationRate,$AO$7,,$F225)), 0)),0)</f>
        <v>0</v>
      </c>
      <c r="AR225" s="157">
        <f>IF($C225&gt;0,(IF($AO$7&gt;=$C225+1, (-FV(InflationRate,$AO$7,,$G225)), 0)),0)</f>
        <v>0</v>
      </c>
      <c r="AS225" s="160">
        <f>IF($C225&gt;0,(IF($C225=$AS$7,(-FV(InflationRate,$AS$7,,$D225)),0)),0)</f>
        <v>0</v>
      </c>
      <c r="AT225" s="150">
        <f>IF($C225&gt;0,(IF($AS$7&gt;=$C225+1, (-FV(InflationRate,$AS$7,,$E225)), 0)),0)</f>
        <v>0</v>
      </c>
      <c r="AU225" s="150">
        <f>IF($C225&gt;0,(IF($AS$7&gt;=$C225+1, (-FV(InflationRate,$AS$7,,$F225)), 0)),0)</f>
        <v>0</v>
      </c>
      <c r="AV225" s="165">
        <f>IF($C225&gt;0,(IF($AS$7&gt;=$C225+1, (-FV(InflationRate,$AS$7,,$G225)), 0)),0)</f>
        <v>0</v>
      </c>
      <c r="AW225" s="168">
        <f>IF($C225&gt;0,(IF($C225=$AW$7,(-FV(InflationRate,$AW$7,,$D225)),0)),0)</f>
        <v>0</v>
      </c>
      <c r="AX225" s="149">
        <f>IF($C225&gt;0,(IF($AW$7&gt;=$C225+1, (-FV(InflationRate,$AW$7,,$E225)), 0)),0)</f>
        <v>0</v>
      </c>
      <c r="AY225" s="149">
        <f>IF($C225&gt;0,(IF($AW$7&gt;=$C225+1, (-FV(InflationRate,$AW$7,,$F225)), 0)),0)</f>
        <v>0</v>
      </c>
      <c r="AZ225" s="157">
        <f>IF($C225&gt;0,(IF($AW$7&gt;=$C225+1, (-FV(InflationRate,$AW$7,,$G225)), 0)),0)</f>
        <v>0</v>
      </c>
      <c r="BA225" s="160">
        <f>IF($C225&gt;0,(IF($C225=$BA$7,(-FV(InflationRate,$BA$7,,$D225)),0)),0)</f>
        <v>0</v>
      </c>
      <c r="BB225" s="150">
        <f>IF($C225&gt;0,(IF($BA$7&gt;=$C225+1, (-FV(InflationRate,$BA$7,,$E225)), 0)),0)</f>
        <v>0</v>
      </c>
      <c r="BC225" s="150">
        <f>IF($C225&gt;0,(IF($BA$7&gt;=$C225+1, (-FV(InflationRate,$BA$7,,$F225)), 0)),0)</f>
        <v>0</v>
      </c>
      <c r="BD225" s="176">
        <f>IF($C225&gt;0,(IF($BA$7&gt;=$C225+1, (-FV(InflationRate,$BA$7,,$G225)), 0)),0)</f>
        <v>0</v>
      </c>
      <c r="BE225" s="168">
        <f>IF($C225&gt;0,(IF($C225=$BE$7,(-FV(InflationRate,$BE$7,,$D225)),0)),0)</f>
        <v>0</v>
      </c>
      <c r="BF225" s="149">
        <f>IF($C225&gt;0,(IF($BE$7&gt;=$C225+1, (-FV(InflationRate,$BE$7,,$E225)), 0)),0)</f>
        <v>0</v>
      </c>
      <c r="BG225" s="149">
        <f>IF($C225&gt;0,(IF($BE$7&gt;=$C225+1, (-FV(InflationRate,$BE$7,,$F225)), 0)),0)</f>
        <v>0</v>
      </c>
      <c r="BH225" s="171">
        <f>IF($C225&gt;0,(IF($BE$7&gt;=$C225+1, (-FV(InflationRate,$BE$7,,$G225)), 0)),0)</f>
        <v>0</v>
      </c>
      <c r="BI225" s="160">
        <f>IF($C225&gt;0,(IF($C225=$BI$7,(-FV(InflationRate,$BI$7,,$D225)),0)),0)</f>
        <v>0</v>
      </c>
      <c r="BJ225" s="150">
        <f>IF($C225&gt;0,(IF($BI$7&gt;=$C225+1, (-FV(InflationRate,$BI$7,,$E225)), 0)),0)</f>
        <v>0</v>
      </c>
      <c r="BK225" s="150">
        <f>IF($C225&gt;0,(IF($BI$7&gt;=$C225+1, (-FV(InflationRate,$BI$7,,$F225)), 0)),0)</f>
        <v>0</v>
      </c>
      <c r="BL225" s="176">
        <f>IF($C225&gt;0,(IF($BI$7&gt;=$C225+1, (-FV(InflationRate,$BI$7,,$G225)), 0)),0)</f>
        <v>0</v>
      </c>
      <c r="BM225" s="168">
        <f>IF($C225&gt;0,(IF($C225=$BM$7,(-FV(InflationRate,$BM$7,,$D225)),0)),0)</f>
        <v>0</v>
      </c>
      <c r="BN225" s="149">
        <f>IF($C225&gt;0,(IF($BM$7&gt;=$C225+1, (-FV(InflationRate,$BM$7,,$E225)), 0)),0)</f>
        <v>0</v>
      </c>
      <c r="BO225" s="149">
        <f>IF($C225&gt;0,(IF($BM$7&gt;=$C225+1, (-FV(InflationRate,$BM$7,,$F225)), 0)),0)</f>
        <v>0</v>
      </c>
      <c r="BP225" s="157">
        <f>IF($C225&gt;0,(IF($BM$7&gt;=$C225+1, (-FV(InflationRate,$BM$7,,$G225)), 0)),0)</f>
        <v>0</v>
      </c>
      <c r="BQ225" s="160">
        <f>IF($C225&gt;0,(IF($C225=$BQ$7,(-FV(InflationRate,$BQ$7,,$D225)),0)),0)</f>
        <v>0</v>
      </c>
      <c r="BR225" s="150">
        <f>IF($C225&gt;0,(IF($BQ$7&gt;=$C225+1, (-FV(InflationRate,$BQ$7,,$E225)), 0)),0)</f>
        <v>0</v>
      </c>
      <c r="BS225" s="150">
        <f>IF($C225&gt;0,(IF($BQ$7&gt;=$C225+1, (-FV(InflationRate,$BQ$7,,$F225)), 0)),0)</f>
        <v>0</v>
      </c>
      <c r="BT225" s="176">
        <f>IF($C225&gt;0,(IF($BQ$7&gt;=$C225+1, (-FV(InflationRate,$BQ$7,,$G225)), 0)),0)</f>
        <v>0</v>
      </c>
      <c r="BU225" s="168">
        <f>IF($C225&gt;0,(IF($C225=$BU$7,(-FV(InflationRate,$BU$7,,$D225)),0)),0)</f>
        <v>0</v>
      </c>
      <c r="BV225" s="149">
        <f>IF($C225&gt;0,(IF($BU$7&gt;=$C225+1, (-FV(InflationRate,$BU$7,,$E225)), 0)),0)</f>
        <v>0</v>
      </c>
      <c r="BW225" s="149">
        <f>IF($C225&gt;0,(IF($BU$7&gt;=$C225+1, (-FV(InflationRate,$BU$7,,$F225)), 0)),0)</f>
        <v>0</v>
      </c>
      <c r="BX225" s="157">
        <f>IF($C225&gt;0,(IF($BU$7&gt;=$C225+1, (-FV(InflationRate,$BU$7,,$G225)), 0)),0)</f>
        <v>0</v>
      </c>
      <c r="BY225" s="160">
        <f>IF($C225&gt;0,(IF($C225=$BY$7,(-FV(InflationRate,$BY$7,,$D225)),0)),0)</f>
        <v>0</v>
      </c>
      <c r="BZ225" s="150">
        <f>IF($C225&gt;0,(IF($BY$7&gt;=$C225+1, (-FV(InflationRate,$BY$7,,$E225)), 0)),0)</f>
        <v>0</v>
      </c>
      <c r="CA225" s="150">
        <f>IF($C225&gt;0,(IF($BY$7&gt;=$C225+1, (-FV(InflationRate,$BY$7,,$F225)), 0)),0)</f>
        <v>0</v>
      </c>
      <c r="CB225" s="176">
        <f>IF($C225&gt;0,(IF($BY$7&gt;=$C225+1, (-FV(InflationRate,$BY$7,,$G225)), 0)),0)</f>
        <v>0</v>
      </c>
      <c r="CC225" s="168">
        <f>IF($C225&gt;0,(IF($C225=$CC$7,(-FV(InflationRate,$CC$7,,$D225)),0)),0)</f>
        <v>0</v>
      </c>
      <c r="CD225" s="149">
        <f>IF($C225&gt;0,(IF($CC$7&gt;=$C225+1, (-FV(InflationRate,$CC$7,,$E225)), 0)),0)</f>
        <v>0</v>
      </c>
      <c r="CE225" s="149">
        <f>IF($C225&gt;0,(IF($CC$7&gt;=$C225+1, (-FV(InflationRate,$CC$7,,$F225)), 0)),0)</f>
        <v>0</v>
      </c>
      <c r="CF225" s="157">
        <f>IF($C225&gt;0,(IF($CC$7&gt;=$C225+1, (-FV(InflationRate,$CC$7,,$G225)), 0)),0)</f>
        <v>0</v>
      </c>
      <c r="CG225" s="160">
        <f>IF($C225&gt;0,(IF($C225=$CG$7,(-FV(InflationRate,$CG$7,,$D225)),0)),0)</f>
        <v>0</v>
      </c>
      <c r="CH225" s="150">
        <f>IF($C225&gt;0,(IF($CG$7&gt;=$C225+1, (-FV(InflationRate,$CG$7,,$E225)), 0)),0)</f>
        <v>0</v>
      </c>
      <c r="CI225" s="150">
        <f>IF($C225&gt;0,(IF($CG$7&gt;=$C225+1, (-FV(InflationRate,$CG$7,,$F225)), 0)),0)</f>
        <v>0</v>
      </c>
      <c r="CJ225" s="176">
        <f>IF($C225&gt;0,(IF($CG$7&gt;=$C225+1, (-FV(InflationRate,$CG$7,,$G225)), 0)),0)</f>
        <v>0</v>
      </c>
      <c r="CK225" s="168">
        <f>IF($C225&gt;0,(IF($C225=$CK$7,(-FV(InflationRate,$CK$7,,$D225)),0)),0)</f>
        <v>0</v>
      </c>
      <c r="CL225" s="149">
        <f>IF($C225&gt;0,(IF($CK$7&gt;=$C225+1, (-FV(InflationRate,$CK$7,,$E225)), 0)),0)</f>
        <v>0</v>
      </c>
      <c r="CM225" s="149">
        <f>IF($C225&gt;0,(IF($CK$7&gt;=$C225+1, (-FV(InflationRate,$CK$7,,$F225)), 0)),0)</f>
        <v>0</v>
      </c>
      <c r="CN225" s="157">
        <f>IF($C225&gt;0,(IF($CK$7&gt;=$C225+1, (-FV(InflationRate,$CK$7,,$G225)), 0)),0)</f>
        <v>0</v>
      </c>
      <c r="CO225" s="160">
        <f>IF($C225&gt;0,(IF($C225=$CO$7,(-FV(InflationRate,$CO$7,,$D225)),0)),0)</f>
        <v>0</v>
      </c>
      <c r="CP225" s="150">
        <f>IF($C225&gt;0,(IF($CO$7&gt;=$C225+1, (-FV(InflationRate,$CO$7,,$E225)), 0)),0)</f>
        <v>0</v>
      </c>
      <c r="CQ225" s="150">
        <f>IF($C225&gt;0,(IF($CO$7&gt;=$C225+1, (-FV(InflationRate,$CO$7,,$F225)), 0)),0)</f>
        <v>0</v>
      </c>
      <c r="CR225" s="176">
        <f>IF($C225&gt;0,(IF($CO$7&gt;=$C225+1, (-FV(InflationRate,$CO$7,,$G225)), 0)),0)</f>
        <v>0</v>
      </c>
      <c r="CS225" s="168">
        <f>IF($C225&gt;0,(IF($C225=$CS$7,(-FV(InflationRate,$CS$7,,$D225)),0)),0)</f>
        <v>0</v>
      </c>
      <c r="CT225" s="149">
        <f>IF($C225&gt;0,(IF($CS$7&gt;=$C225+1, (-FV(InflationRate,$CS$7,,$E225)), 0)),0)</f>
        <v>0</v>
      </c>
      <c r="CU225" s="149">
        <f>IF($C225&gt;0,(IF($CS$7&gt;=$C225+1, (-FV(InflationRate,$CS$7,,$F225)), 0)),0)</f>
        <v>0</v>
      </c>
      <c r="CV225" s="157">
        <f>IF($C225&gt;0,(IF($CS$7&gt;=$C225+1, (-FV(InflationRate,$CS$7,,$G225)), 0)),0)</f>
        <v>0</v>
      </c>
      <c r="CW225" s="160">
        <f>IF($C225&gt;0,(IF($C225=$CW$7,(-FV(InflationRate,$CW$7,,$D225)),0)),0)</f>
        <v>0</v>
      </c>
      <c r="CX225" s="150">
        <f>IF($C225&gt;0,(IF($CW$7&gt;=$C225+1, (-FV(InflationRate,$CW$7,,$E225)), 0)),0)</f>
        <v>0</v>
      </c>
      <c r="CY225" s="150">
        <f>IF($C225&gt;0,(IF($CW$7&gt;=$C225+1, (-FV(InflationRate,$CW$7,,$F225)), 0)),0)</f>
        <v>0</v>
      </c>
      <c r="CZ225" s="176">
        <f>IF($C225&gt;0,(IF($CW$7&gt;=$C225+1, (-FV(InflationRate,$CW$7,,$G225)), 0)),0)</f>
        <v>0</v>
      </c>
      <c r="DA225" s="168">
        <f>IF($C225&gt;0,(IF($C225=$DA$7,(-FV(InflationRate,$DA$7,,$D225)),0)),0)</f>
        <v>0</v>
      </c>
      <c r="DB225" s="149">
        <f>IF($C225&gt;0,(IF($DA$7&gt;=$C225+1, (-FV(InflationRate,$DA$7,,$E225)), 0)),0)</f>
        <v>0</v>
      </c>
      <c r="DC225" s="149">
        <f>IF($C225&gt;0,(IF($DA$7&gt;=$C225+1, (-FV(InflationRate,$DA$7,,$F225)), 0)),0)</f>
        <v>0</v>
      </c>
      <c r="DD225" s="157">
        <f>IF($C225&gt;0,(IF($DA$7&gt;=$C225+1, (-FV(InflationRate,$DA$7,,$G225)), 0)),0)</f>
        <v>0</v>
      </c>
    </row>
    <row r="226" spans="2:108" hidden="1" x14ac:dyDescent="0.2">
      <c r="B226" s="182"/>
      <c r="C226" s="189"/>
      <c r="D226" s="168"/>
      <c r="E226" s="149"/>
      <c r="F226" s="149"/>
      <c r="G226" s="149"/>
      <c r="H226" s="168"/>
      <c r="I226" s="600"/>
      <c r="J226" s="600"/>
      <c r="K226" s="600"/>
      <c r="L226" s="600"/>
      <c r="M226" s="600"/>
      <c r="N226" s="600"/>
      <c r="O226" s="600"/>
      <c r="P226" s="600"/>
      <c r="Q226" s="600"/>
      <c r="R226" s="600"/>
      <c r="S226" s="600"/>
      <c r="T226" s="600"/>
      <c r="U226" s="600"/>
      <c r="V226" s="600"/>
      <c r="W226" s="600"/>
      <c r="X226" s="600"/>
      <c r="Y226" s="600"/>
      <c r="Z226" s="600"/>
      <c r="AA226" s="600"/>
      <c r="AB226" s="601"/>
      <c r="AC226" s="160"/>
      <c r="AD226" s="150"/>
      <c r="AE226" s="150"/>
      <c r="AF226" s="165"/>
      <c r="AG226" s="168"/>
      <c r="AH226" s="149"/>
      <c r="AI226" s="149"/>
      <c r="AJ226" s="171"/>
      <c r="AK226" s="160"/>
      <c r="AL226" s="150"/>
      <c r="AM226" s="150"/>
      <c r="AN226" s="165"/>
      <c r="AO226" s="168"/>
      <c r="AP226" s="149"/>
      <c r="AQ226" s="149"/>
      <c r="AR226" s="157"/>
      <c r="AS226" s="160"/>
      <c r="AT226" s="150"/>
      <c r="AU226" s="150"/>
      <c r="AV226" s="165"/>
      <c r="AW226" s="168"/>
      <c r="AX226" s="149"/>
      <c r="AY226" s="149"/>
      <c r="AZ226" s="157"/>
      <c r="BA226" s="160"/>
      <c r="BB226" s="150"/>
      <c r="BC226" s="150"/>
      <c r="BD226" s="176"/>
      <c r="BE226" s="168"/>
      <c r="BF226" s="149"/>
      <c r="BG226" s="149"/>
      <c r="BH226" s="171"/>
      <c r="BI226" s="160"/>
      <c r="BJ226" s="150"/>
      <c r="BK226" s="150"/>
      <c r="BL226" s="176"/>
      <c r="BM226" s="168"/>
      <c r="BN226" s="149"/>
      <c r="BO226" s="149"/>
      <c r="BP226" s="157"/>
      <c r="BQ226" s="160"/>
      <c r="BR226" s="150"/>
      <c r="BS226" s="150"/>
      <c r="BT226" s="176"/>
      <c r="BU226" s="168"/>
      <c r="BV226" s="149"/>
      <c r="BW226" s="149"/>
      <c r="BX226" s="157"/>
      <c r="BY226" s="160"/>
      <c r="BZ226" s="150"/>
      <c r="CA226" s="150"/>
      <c r="CB226" s="176"/>
      <c r="CC226" s="168"/>
      <c r="CD226" s="149"/>
      <c r="CE226" s="149"/>
      <c r="CF226" s="157"/>
      <c r="CG226" s="160"/>
      <c r="CH226" s="150"/>
      <c r="CI226" s="150"/>
      <c r="CJ226" s="176"/>
      <c r="CK226" s="168"/>
      <c r="CL226" s="149"/>
      <c r="CM226" s="149"/>
      <c r="CN226" s="157"/>
      <c r="CO226" s="160"/>
      <c r="CP226" s="150"/>
      <c r="CQ226" s="150"/>
      <c r="CR226" s="176"/>
      <c r="CS226" s="168"/>
      <c r="CT226" s="149"/>
      <c r="CU226" s="149"/>
      <c r="CV226" s="157"/>
      <c r="CW226" s="160"/>
      <c r="CX226" s="150"/>
      <c r="CY226" s="150"/>
      <c r="CZ226" s="176"/>
      <c r="DA226" s="168"/>
      <c r="DB226" s="149"/>
      <c r="DC226" s="149"/>
      <c r="DD226" s="157"/>
    </row>
    <row r="227" spans="2:108" hidden="1" x14ac:dyDescent="0.2">
      <c r="B227" s="182" t="str">
        <f>'PRB - S5'!B5</f>
        <v>Permeable Reactive Barriers - Site 5</v>
      </c>
      <c r="C227" s="189"/>
      <c r="D227" s="194">
        <f>'PRB - S5'!F34</f>
        <v>0</v>
      </c>
      <c r="E227" s="195">
        <f>'PRB - S5'!F63</f>
        <v>0</v>
      </c>
      <c r="F227" s="195">
        <f>'PRB - S5'!F94</f>
        <v>0</v>
      </c>
      <c r="G227" s="195">
        <f>'PRB - S5'!F123</f>
        <v>0</v>
      </c>
      <c r="H227" s="168"/>
      <c r="I227" s="600"/>
      <c r="J227" s="600"/>
      <c r="K227" s="600"/>
      <c r="L227" s="600"/>
      <c r="M227" s="600"/>
      <c r="N227" s="600"/>
      <c r="O227" s="600"/>
      <c r="P227" s="600"/>
      <c r="Q227" s="600"/>
      <c r="R227" s="600"/>
      <c r="S227" s="600"/>
      <c r="T227" s="600"/>
      <c r="U227" s="600"/>
      <c r="V227" s="600"/>
      <c r="W227" s="600"/>
      <c r="X227" s="600"/>
      <c r="Y227" s="600"/>
      <c r="Z227" s="600"/>
      <c r="AA227" s="600"/>
      <c r="AB227" s="601"/>
      <c r="AC227" s="160"/>
      <c r="AD227" s="150"/>
      <c r="AE227" s="150"/>
      <c r="AF227" s="165"/>
      <c r="AG227" s="168"/>
      <c r="AH227" s="149"/>
      <c r="AI227" s="149"/>
      <c r="AJ227" s="171"/>
      <c r="AK227" s="160"/>
      <c r="AL227" s="150"/>
      <c r="AM227" s="150"/>
      <c r="AN227" s="165"/>
      <c r="AO227" s="168"/>
      <c r="AP227" s="149"/>
      <c r="AQ227" s="149"/>
      <c r="AR227" s="157"/>
      <c r="AS227" s="160"/>
      <c r="AT227" s="150"/>
      <c r="AU227" s="150"/>
      <c r="AV227" s="165"/>
      <c r="AW227" s="168"/>
      <c r="AX227" s="149"/>
      <c r="AY227" s="149"/>
      <c r="AZ227" s="157"/>
      <c r="BA227" s="160"/>
      <c r="BB227" s="150"/>
      <c r="BC227" s="150"/>
      <c r="BD227" s="176"/>
      <c r="BE227" s="168"/>
      <c r="BF227" s="149"/>
      <c r="BG227" s="149"/>
      <c r="BH227" s="171"/>
      <c r="BI227" s="160"/>
      <c r="BJ227" s="150"/>
      <c r="BK227" s="150"/>
      <c r="BL227" s="176"/>
      <c r="BM227" s="168"/>
      <c r="BN227" s="149"/>
      <c r="BO227" s="149"/>
      <c r="BP227" s="157"/>
      <c r="BQ227" s="160"/>
      <c r="BR227" s="150"/>
      <c r="BS227" s="150"/>
      <c r="BT227" s="176"/>
      <c r="BU227" s="168"/>
      <c r="BV227" s="149"/>
      <c r="BW227" s="149"/>
      <c r="BX227" s="157"/>
      <c r="BY227" s="160"/>
      <c r="BZ227" s="150"/>
      <c r="CA227" s="150"/>
      <c r="CB227" s="176"/>
      <c r="CC227" s="168"/>
      <c r="CD227" s="149"/>
      <c r="CE227" s="149"/>
      <c r="CF227" s="157"/>
      <c r="CG227" s="160"/>
      <c r="CH227" s="150"/>
      <c r="CI227" s="150"/>
      <c r="CJ227" s="176"/>
      <c r="CK227" s="168"/>
      <c r="CL227" s="149"/>
      <c r="CM227" s="149"/>
      <c r="CN227" s="157"/>
      <c r="CO227" s="160"/>
      <c r="CP227" s="150"/>
      <c r="CQ227" s="150"/>
      <c r="CR227" s="176"/>
      <c r="CS227" s="168"/>
      <c r="CT227" s="149"/>
      <c r="CU227" s="149"/>
      <c r="CV227" s="157"/>
      <c r="CW227" s="160"/>
      <c r="CX227" s="150"/>
      <c r="CY227" s="150"/>
      <c r="CZ227" s="176"/>
      <c r="DA227" s="168"/>
      <c r="DB227" s="149"/>
      <c r="DC227" s="149"/>
      <c r="DD227" s="157"/>
    </row>
    <row r="228" spans="2:108" hidden="1" x14ac:dyDescent="0.2">
      <c r="B228" s="183" t="s">
        <v>220</v>
      </c>
      <c r="C228" s="556"/>
      <c r="D228" s="168">
        <f>'PRB - S5'!F31+'PRB - S5'!F32</f>
        <v>0</v>
      </c>
      <c r="E228" s="149"/>
      <c r="F228" s="149"/>
      <c r="G228" s="149"/>
      <c r="H228" s="168">
        <f>SUM(I228:AB228)</f>
        <v>0</v>
      </c>
      <c r="I228" s="610">
        <f>-PV(InterestRate,I$8,,(SUM(AC228:AF228)))</f>
        <v>0</v>
      </c>
      <c r="J228" s="610">
        <f>-PV(InterestRate,J$8,,(SUM(AG228:AJ228)))</f>
        <v>0</v>
      </c>
      <c r="K228" s="610">
        <f>-PV(InterestRate,K$8,,(SUM(AK228:AN228)))</f>
        <v>0</v>
      </c>
      <c r="L228" s="610">
        <f>-PV(InterestRate,L$8,,(SUM(AO228:AR228)))</f>
        <v>0</v>
      </c>
      <c r="M228" s="610">
        <f>-PV(InterestRate,M$8,,(SUM(AS228:AV228)))</f>
        <v>0</v>
      </c>
      <c r="N228" s="610">
        <f>-PV(InterestRate,N$8,,(SUM(AW228:AZ228)))</f>
        <v>0</v>
      </c>
      <c r="O228" s="610">
        <f>-PV(InterestRate,O$8,,(SUM(BA228:BD228)))</f>
        <v>0</v>
      </c>
      <c r="P228" s="610">
        <f>-PV(InterestRate,P$8,,(SUM(BE228:BH228)))</f>
        <v>0</v>
      </c>
      <c r="Q228" s="610">
        <f>-PV(InterestRate,Q$8,,(SUM(BI228:BL228)))</f>
        <v>0</v>
      </c>
      <c r="R228" s="610">
        <f>-PV(InterestRate,R$8,,(SUM(BM228:BP228)))</f>
        <v>0</v>
      </c>
      <c r="S228" s="610">
        <f>-PV(InterestRate,S$8,,(SUM(BQ228:BT228)))</f>
        <v>0</v>
      </c>
      <c r="T228" s="610">
        <f>-PV(InterestRate,T$8,,(SUM(BU228:BX228)))</f>
        <v>0</v>
      </c>
      <c r="U228" s="610">
        <f>-PV(InterestRate,U$8,,(SUM(BY228:CB228)))</f>
        <v>0</v>
      </c>
      <c r="V228" s="610">
        <f>-PV(InterestRate,V$8,,(SUM(CC228:CF228)))</f>
        <v>0</v>
      </c>
      <c r="W228" s="610">
        <f>-PV(InterestRate,W$8,,(SUM(CG228:CJ228)))</f>
        <v>0</v>
      </c>
      <c r="X228" s="610">
        <f>-PV(InterestRate,X$8,,(SUM(CK228:CN228)))</f>
        <v>0</v>
      </c>
      <c r="Y228" s="610">
        <f>-PV(InterestRate,Y$8,,(SUM(CO228:CR228)))</f>
        <v>0</v>
      </c>
      <c r="Z228" s="610">
        <f>-PV(InterestRate,Z$8,,(SUM(CS228:CV228)))</f>
        <v>0</v>
      </c>
      <c r="AA228" s="610">
        <f>-PV(InterestRate,AA$8,,(SUM(CW228:CZ228)))</f>
        <v>0</v>
      </c>
      <c r="AB228" s="611">
        <f>-PV(InterestRate,AB$8,,(SUM(DA228:DD228)))</f>
        <v>0</v>
      </c>
      <c r="AC228" s="160"/>
      <c r="AD228" s="150"/>
      <c r="AE228" s="150"/>
      <c r="AF228" s="165"/>
      <c r="AG228" s="168"/>
      <c r="AH228" s="149"/>
      <c r="AI228" s="149"/>
      <c r="AJ228" s="171"/>
      <c r="AK228" s="160"/>
      <c r="AL228" s="150"/>
      <c r="AM228" s="150"/>
      <c r="AN228" s="165"/>
      <c r="AO228" s="168">
        <f>IF($C228&gt;0,(IF($C228=$AO$7,(-FV(InflationRate,$AO$7,,$D228)),0)),0)</f>
        <v>0</v>
      </c>
      <c r="AP228" s="149">
        <f>IF($C228&gt;0,(IF($AO$7&gt;=$C228+1, (-FV(InflationRate,$AO$7,,$E228)), 0)),0)</f>
        <v>0</v>
      </c>
      <c r="AQ228" s="149">
        <f>IF($C228&gt;0,(IF($AO$7&gt;=$C228+1, (-FV(InflationRate,$AO$7,,$F228)), 0)),0)</f>
        <v>0</v>
      </c>
      <c r="AR228" s="157">
        <f>IF($C228&gt;0,(IF($AO$7&gt;=$C228+1, (-FV(InflationRate,$AO$7,,$G228)), 0)),0)</f>
        <v>0</v>
      </c>
      <c r="AS228" s="160">
        <f>IF($C228&gt;0,(IF($C228=$AS$7,(-FV(InflationRate,$AS$7,,$D228)),0)),0)</f>
        <v>0</v>
      </c>
      <c r="AT228" s="150">
        <f>IF($C228&gt;0,(IF($AS$7&gt;=$C228+1, (-FV(InflationRate,$AS$7,,$E228)), 0)),0)</f>
        <v>0</v>
      </c>
      <c r="AU228" s="150">
        <f>IF($C228&gt;0,(IF($AS$7&gt;=$C228+1, (-FV(InflationRate,$AS$7,,$F228)), 0)),0)</f>
        <v>0</v>
      </c>
      <c r="AV228" s="165">
        <f>IF($C228&gt;0,(IF($AS$7&gt;=$C228+1, (-FV(InflationRate,$AS$7,,$G228)), 0)),0)</f>
        <v>0</v>
      </c>
      <c r="AW228" s="168">
        <f>IF($C228&gt;0,(IF($C228=$AW$7,(-FV(InflationRate,$AW$7,,$D228)),0)),0)</f>
        <v>0</v>
      </c>
      <c r="AX228" s="149">
        <f>IF($C228&gt;0,(IF($AW$7&gt;=$C228+1, (-FV(InflationRate,$AW$7,,$E228)), 0)),0)</f>
        <v>0</v>
      </c>
      <c r="AY228" s="149">
        <f>IF($C228&gt;0,(IF($AW$7&gt;=$C228+1, (-FV(InflationRate,$AW$7,,$F228)), 0)),0)</f>
        <v>0</v>
      </c>
      <c r="AZ228" s="157">
        <f>IF($C228&gt;0,(IF($AW$7&gt;=$C228+1, (-FV(InflationRate,$AW$7,,$G228)), 0)),0)</f>
        <v>0</v>
      </c>
      <c r="BA228" s="160">
        <f>IF($C228&gt;0,(IF($C228=$BA$7,(-FV(InflationRate,$BA$7,,$D228)),0)),0)</f>
        <v>0</v>
      </c>
      <c r="BB228" s="150">
        <f>IF($C228&gt;0,(IF($BA$7&gt;=$C228+1, (-FV(InflationRate,$BA$7,,$E228)), 0)),0)</f>
        <v>0</v>
      </c>
      <c r="BC228" s="150">
        <f>IF($C228&gt;0,(IF($BA$7&gt;=$C228+1, (-FV(InflationRate,$BA$7,,$F228)), 0)),0)</f>
        <v>0</v>
      </c>
      <c r="BD228" s="176">
        <f>IF($C228&gt;0,(IF($BA$7&gt;=$C228+1, (-FV(InflationRate,$BA$7,,$G228)), 0)),0)</f>
        <v>0</v>
      </c>
      <c r="BE228" s="168">
        <f>IF($C228&gt;0,(IF($C228=$BE$7,(-FV(InflationRate,$BE$7,,$D228)),0)),0)</f>
        <v>0</v>
      </c>
      <c r="BF228" s="149">
        <f>IF($C228&gt;0,(IF($BE$7&gt;=$C228+1, (-FV(InflationRate,$BE$7,,$E228)), 0)),0)</f>
        <v>0</v>
      </c>
      <c r="BG228" s="149">
        <f>IF($C228&gt;0,(IF($BE$7&gt;=$C228+1, (-FV(InflationRate,$BE$7,,$F228)), 0)),0)</f>
        <v>0</v>
      </c>
      <c r="BH228" s="171">
        <f>IF($C228&gt;0,(IF($BE$7&gt;=$C228+1, (-FV(InflationRate,$BE$7,,$G228)), 0)),0)</f>
        <v>0</v>
      </c>
      <c r="BI228" s="160">
        <f>IF($C228&gt;0,(IF($C228=$BI$7,(-FV(InflationRate,$BI$7,,$D228)),0)),0)</f>
        <v>0</v>
      </c>
      <c r="BJ228" s="150">
        <f>IF($C228&gt;0,(IF($BI$7&gt;=$C228+1, (-FV(InflationRate,$BI$7,,$E228)), 0)),0)</f>
        <v>0</v>
      </c>
      <c r="BK228" s="150">
        <f>IF($C228&gt;0,(IF($BI$7&gt;=$C228+1, (-FV(InflationRate,$BI$7,,$F228)), 0)),0)</f>
        <v>0</v>
      </c>
      <c r="BL228" s="176">
        <f>IF($C228&gt;0,(IF($BI$7&gt;=$C228+1, (-FV(InflationRate,$BI$7,,$G228)), 0)),0)</f>
        <v>0</v>
      </c>
      <c r="BM228" s="168">
        <f>IF($C228&gt;0,(IF($C228=$BM$7,(-FV(InflationRate,$BM$7,,$D228)),0)),0)</f>
        <v>0</v>
      </c>
      <c r="BN228" s="149">
        <f>IF($C228&gt;0,(IF($BM$7&gt;=$C228+1, (-FV(InflationRate,$BM$7,,$E228)), 0)),0)</f>
        <v>0</v>
      </c>
      <c r="BO228" s="149">
        <f>IF($C228&gt;0,(IF($BM$7&gt;=$C228+1, (-FV(InflationRate,$BM$7,,$F228)), 0)),0)</f>
        <v>0</v>
      </c>
      <c r="BP228" s="157">
        <f>IF($C228&gt;0,(IF($BM$7&gt;=$C228+1, (-FV(InflationRate,$BM$7,,$G228)), 0)),0)</f>
        <v>0</v>
      </c>
      <c r="BQ228" s="160">
        <f>IF($C228&gt;0,(IF($C228=$BQ$7,(-FV(InflationRate,$BQ$7,,$D228)),0)),0)</f>
        <v>0</v>
      </c>
      <c r="BR228" s="150">
        <f>IF($C228&gt;0,(IF($BQ$7&gt;=$C228+1, (-FV(InflationRate,$BQ$7,,$E228)), 0)),0)</f>
        <v>0</v>
      </c>
      <c r="BS228" s="150">
        <f>IF($C228&gt;0,(IF($BQ$7&gt;=$C228+1, (-FV(InflationRate,$BQ$7,,$F228)), 0)),0)</f>
        <v>0</v>
      </c>
      <c r="BT228" s="176">
        <f>IF($C228&gt;0,(IF($BQ$7&gt;=$C228+1, (-FV(InflationRate,$BQ$7,,$G228)), 0)),0)</f>
        <v>0</v>
      </c>
      <c r="BU228" s="168">
        <f>IF($C228&gt;0,(IF($C228=$BU$7,(-FV(InflationRate,$BU$7,,$D228)),0)),0)</f>
        <v>0</v>
      </c>
      <c r="BV228" s="149">
        <f>IF($C228&gt;0,(IF($BU$7&gt;=$C228+1, (-FV(InflationRate,$BU$7,,$E228)), 0)),0)</f>
        <v>0</v>
      </c>
      <c r="BW228" s="149">
        <f>IF($C228&gt;0,(IF($BU$7&gt;=$C228+1, (-FV(InflationRate,$BU$7,,$F228)), 0)),0)</f>
        <v>0</v>
      </c>
      <c r="BX228" s="157">
        <f>IF($C228&gt;0,(IF($BU$7&gt;=$C228+1, (-FV(InflationRate,$BU$7,,$G228)), 0)),0)</f>
        <v>0</v>
      </c>
      <c r="BY228" s="160">
        <f>IF($C228&gt;0,(IF($C228=$BY$7,(-FV(InflationRate,$BY$7,,$D228)),0)),0)</f>
        <v>0</v>
      </c>
      <c r="BZ228" s="150">
        <f>IF($C228&gt;0,(IF($BY$7&gt;=$C228+1, (-FV(InflationRate,$BY$7,,$E228)), 0)),0)</f>
        <v>0</v>
      </c>
      <c r="CA228" s="150">
        <f>IF($C228&gt;0,(IF($BY$7&gt;=$C228+1, (-FV(InflationRate,$BY$7,,$F228)), 0)),0)</f>
        <v>0</v>
      </c>
      <c r="CB228" s="176">
        <f>IF($C228&gt;0,(IF($BY$7&gt;=$C228+1, (-FV(InflationRate,$BY$7,,$G228)), 0)),0)</f>
        <v>0</v>
      </c>
      <c r="CC228" s="168">
        <f>IF($C228&gt;0,(IF($C228=$CC$7,(-FV(InflationRate,$CC$7,,$D228)),0)),0)</f>
        <v>0</v>
      </c>
      <c r="CD228" s="149">
        <f>IF($C228&gt;0,(IF($CC$7&gt;=$C228+1, (-FV(InflationRate,$CC$7,,$E228)), 0)),0)</f>
        <v>0</v>
      </c>
      <c r="CE228" s="149">
        <f>IF($C228&gt;0,(IF($CC$7&gt;=$C228+1, (-FV(InflationRate,$CC$7,,$F228)), 0)),0)</f>
        <v>0</v>
      </c>
      <c r="CF228" s="157">
        <f>IF($C228&gt;0,(IF($CC$7&gt;=$C228+1, (-FV(InflationRate,$CC$7,,$G228)), 0)),0)</f>
        <v>0</v>
      </c>
      <c r="CG228" s="160">
        <f>IF($C228&gt;0,(IF($C228=$CG$7,(-FV(InflationRate,$CG$7,,$D228)),0)),0)</f>
        <v>0</v>
      </c>
      <c r="CH228" s="150">
        <f>IF($C228&gt;0,(IF($CG$7&gt;=$C228+1, (-FV(InflationRate,$CG$7,,$E228)), 0)),0)</f>
        <v>0</v>
      </c>
      <c r="CI228" s="150">
        <f>IF($C228&gt;0,(IF($CG$7&gt;=$C228+1, (-FV(InflationRate,$CG$7,,$F228)), 0)),0)</f>
        <v>0</v>
      </c>
      <c r="CJ228" s="176">
        <f>IF($C228&gt;0,(IF($CG$7&gt;=$C228+1, (-FV(InflationRate,$CG$7,,$G228)), 0)),0)</f>
        <v>0</v>
      </c>
      <c r="CK228" s="168">
        <f>IF($C228&gt;0,(IF($C228=$CK$7,(-FV(InflationRate,$CK$7,,$D228)),0)),0)</f>
        <v>0</v>
      </c>
      <c r="CL228" s="149">
        <f>IF($C228&gt;0,(IF($CK$7&gt;=$C228+1, (-FV(InflationRate,$CK$7,,$E228)), 0)),0)</f>
        <v>0</v>
      </c>
      <c r="CM228" s="149">
        <f>IF($C228&gt;0,(IF($CK$7&gt;=$C228+1, (-FV(InflationRate,$CK$7,,$F228)), 0)),0)</f>
        <v>0</v>
      </c>
      <c r="CN228" s="157">
        <f>IF($C228&gt;0,(IF($CK$7&gt;=$C228+1, (-FV(InflationRate,$CK$7,,$G228)), 0)),0)</f>
        <v>0</v>
      </c>
      <c r="CO228" s="160">
        <f>IF($C228&gt;0,(IF($C228=$CO$7,(-FV(InflationRate,$CO$7,,$D228)),0)),0)</f>
        <v>0</v>
      </c>
      <c r="CP228" s="150">
        <f>IF($C228&gt;0,(IF($CO$7&gt;=$C228+1, (-FV(InflationRate,$CO$7,,$E228)), 0)),0)</f>
        <v>0</v>
      </c>
      <c r="CQ228" s="150">
        <f>IF($C228&gt;0,(IF($CO$7&gt;=$C228+1, (-FV(InflationRate,$CO$7,,$F228)), 0)),0)</f>
        <v>0</v>
      </c>
      <c r="CR228" s="176">
        <f>IF($C228&gt;0,(IF($CO$7&gt;=$C228+1, (-FV(InflationRate,$CO$7,,$G228)), 0)),0)</f>
        <v>0</v>
      </c>
      <c r="CS228" s="168">
        <f>IF($C228&gt;0,(IF($C228=$CS$7,(-FV(InflationRate,$CS$7,,$D228)),0)),0)</f>
        <v>0</v>
      </c>
      <c r="CT228" s="149">
        <f>IF($C228&gt;0,(IF($CS$7&gt;=$C228+1, (-FV(InflationRate,$CS$7,,$E228)), 0)),0)</f>
        <v>0</v>
      </c>
      <c r="CU228" s="149">
        <f>IF($C228&gt;0,(IF($CS$7&gt;=$C228+1, (-FV(InflationRate,$CS$7,,$F228)), 0)),0)</f>
        <v>0</v>
      </c>
      <c r="CV228" s="157">
        <f>IF($C228&gt;0,(IF($CS$7&gt;=$C228+1, (-FV(InflationRate,$CS$7,,$G228)), 0)),0)</f>
        <v>0</v>
      </c>
      <c r="CW228" s="160">
        <f>IF($C228&gt;0,(IF($C228=$CW$7,(-FV(InflationRate,$CW$7,,$D228)),0)),0)</f>
        <v>0</v>
      </c>
      <c r="CX228" s="150">
        <f>IF($C228&gt;0,(IF($CW$7&gt;=$C228+1, (-FV(InflationRate,$CW$7,,$E228)), 0)),0)</f>
        <v>0</v>
      </c>
      <c r="CY228" s="150">
        <f>IF($C228&gt;0,(IF($CW$7&gt;=$C228+1, (-FV(InflationRate,$CW$7,,$F228)), 0)),0)</f>
        <v>0</v>
      </c>
      <c r="CZ228" s="176">
        <f>IF($C228&gt;0,(IF($CW$7&gt;=$C228+1, (-FV(InflationRate,$CW$7,,$G228)), 0)),0)</f>
        <v>0</v>
      </c>
      <c r="DA228" s="168">
        <f>IF($C228&gt;0,(IF($C228=$DA$7,(-FV(InflationRate,$DA$7,,$D228)),0)),0)</f>
        <v>0</v>
      </c>
      <c r="DB228" s="149">
        <f>IF($C228&gt;0,(IF($DA$7&gt;=$C228+1, (-FV(InflationRate,$DA$7,,$E228)), 0)),0)</f>
        <v>0</v>
      </c>
      <c r="DC228" s="149">
        <f>IF($C228&gt;0,(IF($DA$7&gt;=$C228+1, (-FV(InflationRate,$DA$7,,$F228)), 0)),0)</f>
        <v>0</v>
      </c>
      <c r="DD228" s="157">
        <f>IF($C228&gt;0,(IF($DA$7&gt;=$C228+1, (-FV(InflationRate,$DA$7,,$G228)), 0)),0)</f>
        <v>0</v>
      </c>
    </row>
    <row r="229" spans="2:108" hidden="1" x14ac:dyDescent="0.2">
      <c r="B229" s="183" t="s">
        <v>270</v>
      </c>
      <c r="C229" s="556"/>
      <c r="D229" s="168">
        <f>D227-D228</f>
        <v>0</v>
      </c>
      <c r="E229" s="149">
        <f>E227</f>
        <v>0</v>
      </c>
      <c r="F229" s="149"/>
      <c r="G229" s="149">
        <f>G227</f>
        <v>0</v>
      </c>
      <c r="H229" s="168">
        <f>SUM(I229:AB229)</f>
        <v>0</v>
      </c>
      <c r="I229" s="610">
        <f>-PV(InterestRate,I$8,,(SUM(AC229:AF229)))</f>
        <v>0</v>
      </c>
      <c r="J229" s="610">
        <f>-PV(InterestRate,J$8,,(SUM(AG229:AJ229)))</f>
        <v>0</v>
      </c>
      <c r="K229" s="610">
        <f>-PV(InterestRate,K$8,,(SUM(AK229:AN229)))</f>
        <v>0</v>
      </c>
      <c r="L229" s="610">
        <f>-PV(InterestRate,L$8,,(SUM(AO229:AR229)))</f>
        <v>0</v>
      </c>
      <c r="M229" s="610">
        <f>-PV(InterestRate,M$8,,(SUM(AS229:AV229)))</f>
        <v>0</v>
      </c>
      <c r="N229" s="610">
        <f>-PV(InterestRate,N$8,,(SUM(AW229:AZ229)))</f>
        <v>0</v>
      </c>
      <c r="O229" s="610">
        <f>-PV(InterestRate,O$8,,(SUM(BA229:BD229)))</f>
        <v>0</v>
      </c>
      <c r="P229" s="610">
        <f>-PV(InterestRate,P$8,,(SUM(BE229:BH229)))</f>
        <v>0</v>
      </c>
      <c r="Q229" s="610">
        <f>-PV(InterestRate,Q$8,,(SUM(BI229:BL229)))</f>
        <v>0</v>
      </c>
      <c r="R229" s="610">
        <f>-PV(InterestRate,R$8,,(SUM(BM229:BP229)))</f>
        <v>0</v>
      </c>
      <c r="S229" s="610">
        <f>-PV(InterestRate,S$8,,(SUM(BQ229:BT229)))</f>
        <v>0</v>
      </c>
      <c r="T229" s="610">
        <f>-PV(InterestRate,T$8,,(SUM(BU229:BX229)))</f>
        <v>0</v>
      </c>
      <c r="U229" s="610">
        <f>-PV(InterestRate,U$8,,(SUM(BY229:CB229)))</f>
        <v>0</v>
      </c>
      <c r="V229" s="610">
        <f>-PV(InterestRate,V$8,,(SUM(CC229:CF229)))</f>
        <v>0</v>
      </c>
      <c r="W229" s="610">
        <f>-PV(InterestRate,W$8,,(SUM(CG229:CJ229)))</f>
        <v>0</v>
      </c>
      <c r="X229" s="610">
        <f>-PV(InterestRate,X$8,,(SUM(CK229:CN229)))</f>
        <v>0</v>
      </c>
      <c r="Y229" s="610">
        <f>-PV(InterestRate,Y$8,,(SUM(CO229:CR229)))</f>
        <v>0</v>
      </c>
      <c r="Z229" s="610">
        <f>-PV(InterestRate,Z$8,,(SUM(CS229:CV229)))</f>
        <v>0</v>
      </c>
      <c r="AA229" s="610">
        <f>-PV(InterestRate,AA$8,,(SUM(CW229:CZ229)))</f>
        <v>0</v>
      </c>
      <c r="AB229" s="611">
        <f>-PV(InterestRate,AB$8,,(SUM(DA229:DD229)))</f>
        <v>0</v>
      </c>
      <c r="AC229" s="160"/>
      <c r="AD229" s="150"/>
      <c r="AE229" s="150"/>
      <c r="AF229" s="165"/>
      <c r="AG229" s="168"/>
      <c r="AH229" s="149"/>
      <c r="AI229" s="149"/>
      <c r="AJ229" s="171"/>
      <c r="AK229" s="160"/>
      <c r="AL229" s="150"/>
      <c r="AM229" s="150"/>
      <c r="AN229" s="165"/>
      <c r="AO229" s="168">
        <f>IF($C229&gt;0,(IF($C229=$AO$7,(-FV(InflationRate,$AO$7,,$D229)),0)),0)</f>
        <v>0</v>
      </c>
      <c r="AP229" s="149">
        <f>IF($C229&gt;0,(IF($AO$7&gt;=$C229+1, (-FV(InflationRate,$AO$7,,$E229)), 0)),0)</f>
        <v>0</v>
      </c>
      <c r="AQ229" s="149">
        <f>IF($C229&gt;0,(IF($AO$7&gt;=$C229+1, (-FV(InflationRate,$AO$7,,$F229)), 0)),0)</f>
        <v>0</v>
      </c>
      <c r="AR229" s="157">
        <f>IF($C229&gt;0,(IF($AO$7&gt;=$C229+1, (-FV(InflationRate,$AO$7,,$G229)), 0)),0)</f>
        <v>0</v>
      </c>
      <c r="AS229" s="160">
        <f>IF($C229&gt;0,(IF($C229=$AS$7,(-FV(InflationRate,$AS$7,,$D229)),0)),0)</f>
        <v>0</v>
      </c>
      <c r="AT229" s="150">
        <f>IF($C229&gt;0,(IF($AS$7&gt;=$C229+1, (-FV(InflationRate,$AS$7,,$E229)), 0)),0)</f>
        <v>0</v>
      </c>
      <c r="AU229" s="150">
        <f>IF($C229&gt;0,(IF($AS$7&gt;=$C229+1, (-FV(InflationRate,$AS$7,,$F229)), 0)),0)</f>
        <v>0</v>
      </c>
      <c r="AV229" s="165">
        <f>IF($C229&gt;0,(IF($AS$7&gt;=$C229+1, (-FV(InflationRate,$AS$7,,$G229)), 0)),0)</f>
        <v>0</v>
      </c>
      <c r="AW229" s="168">
        <f>IF($C229&gt;0,(IF($C229=$AW$7,(-FV(InflationRate,$AW$7,,$D229)),0)),0)</f>
        <v>0</v>
      </c>
      <c r="AX229" s="149">
        <f>IF($C229&gt;0,(IF($AW$7&gt;=$C229+1, (-FV(InflationRate,$AW$7,,$E229)), 0)),0)</f>
        <v>0</v>
      </c>
      <c r="AY229" s="149">
        <f>IF($C229&gt;0,(IF($AW$7&gt;=$C229+1, (-FV(InflationRate,$AW$7,,$F229)), 0)),0)</f>
        <v>0</v>
      </c>
      <c r="AZ229" s="157">
        <f>IF($C229&gt;0,(IF($AW$7&gt;=$C229+1, (-FV(InflationRate,$AW$7,,$G229)), 0)),0)</f>
        <v>0</v>
      </c>
      <c r="BA229" s="160">
        <f>IF($C229&gt;0,(IF($C229=$BA$7,(-FV(InflationRate,$BA$7,,$D229)),0)),0)</f>
        <v>0</v>
      </c>
      <c r="BB229" s="150">
        <f>IF($C229&gt;0,(IF($BA$7&gt;=$C229+1, (-FV(InflationRate,$BA$7,,$E229)), 0)),0)</f>
        <v>0</v>
      </c>
      <c r="BC229" s="150">
        <f>IF($C229&gt;0,(IF($BA$7&gt;=$C229+1, (-FV(InflationRate,$BA$7,,$F229)), 0)),0)</f>
        <v>0</v>
      </c>
      <c r="BD229" s="176">
        <f>IF($C229&gt;0,(IF($BA$7&gt;=$C229+1, (-FV(InflationRate,$BA$7,,$G229)), 0)),0)</f>
        <v>0</v>
      </c>
      <c r="BE229" s="168">
        <f>IF($C229&gt;0,(IF($C229=$BE$7,(-FV(InflationRate,$BE$7,,$D229)),0)),0)</f>
        <v>0</v>
      </c>
      <c r="BF229" s="149">
        <f>IF($C229&gt;0,(IF($BE$7&gt;=$C229+1, (-FV(InflationRate,$BE$7,,$E229)), 0)),0)</f>
        <v>0</v>
      </c>
      <c r="BG229" s="149">
        <f>IF($C229&gt;0,(IF($BE$7&gt;=$C229+1, (-FV(InflationRate,$BE$7,,$F229)), 0)),0)</f>
        <v>0</v>
      </c>
      <c r="BH229" s="171">
        <f>IF($C229&gt;0,(IF($BE$7&gt;=$C229+1, (-FV(InflationRate,$BE$7,,$G229)), 0)),0)</f>
        <v>0</v>
      </c>
      <c r="BI229" s="160">
        <f>IF($C229&gt;0,(IF($C229=$BI$7,(-FV(InflationRate,$BI$7,,$D229)),0)),0)</f>
        <v>0</v>
      </c>
      <c r="BJ229" s="150">
        <f>IF($C229&gt;0,(IF($BI$7&gt;=$C229+1, (-FV(InflationRate,$BI$7,,$E229)), 0)),0)</f>
        <v>0</v>
      </c>
      <c r="BK229" s="150">
        <f>IF($C229&gt;0,(IF($BI$7&gt;=$C229+1, (-FV(InflationRate,$BI$7,,$F229)), 0)),0)</f>
        <v>0</v>
      </c>
      <c r="BL229" s="176">
        <f>IF($C229&gt;0,(IF($BI$7&gt;=$C229+1, (-FV(InflationRate,$BI$7,,$G229)), 0)),0)</f>
        <v>0</v>
      </c>
      <c r="BM229" s="168">
        <f>IF($C229&gt;0,(IF($C229=$BM$7,(-FV(InflationRate,$BM$7,,$D229)),0)),0)</f>
        <v>0</v>
      </c>
      <c r="BN229" s="149">
        <f>IF($C229&gt;0,(IF($BM$7&gt;=$C229+1, (-FV(InflationRate,$BM$7,,$E229)), 0)),0)</f>
        <v>0</v>
      </c>
      <c r="BO229" s="149">
        <f>IF($C229&gt;0,(IF($BM$7&gt;=$C229+1, (-FV(InflationRate,$BM$7,,$F229)), 0)),0)</f>
        <v>0</v>
      </c>
      <c r="BP229" s="157">
        <f>IF($C229&gt;0,(IF($BM$7&gt;=$C229+1, (-FV(InflationRate,$BM$7,,$G229)), 0)),0)</f>
        <v>0</v>
      </c>
      <c r="BQ229" s="160">
        <f>IF($C229&gt;0,(IF($C229=$BQ$7,(-FV(InflationRate,$BQ$7,,$D229)),0)),0)</f>
        <v>0</v>
      </c>
      <c r="BR229" s="150">
        <f>IF($C229&gt;0,(IF($BQ$7&gt;=$C229+1, (-FV(InflationRate,$BQ$7,,$E229)), 0)),0)</f>
        <v>0</v>
      </c>
      <c r="BS229" s="150">
        <f>IF($C229&gt;0,(IF($BQ$7&gt;=$C229+1, (-FV(InflationRate,$BQ$7,,$F229)), 0)),0)</f>
        <v>0</v>
      </c>
      <c r="BT229" s="176">
        <f>IF($C229&gt;0,(IF($BQ$7&gt;=$C229+1, (-FV(InflationRate,$BQ$7,,$G229)), 0)),0)</f>
        <v>0</v>
      </c>
      <c r="BU229" s="168">
        <f>IF($C229&gt;0,(IF($C229=$BU$7,(-FV(InflationRate,$BU$7,,$D229)),0)),0)</f>
        <v>0</v>
      </c>
      <c r="BV229" s="149">
        <f>IF($C229&gt;0,(IF($BU$7&gt;=$C229+1, (-FV(InflationRate,$BU$7,,$E229)), 0)),0)</f>
        <v>0</v>
      </c>
      <c r="BW229" s="149">
        <f>IF($C229&gt;0,(IF($BU$7&gt;=$C229+1, (-FV(InflationRate,$BU$7,,$F229)), 0)),0)</f>
        <v>0</v>
      </c>
      <c r="BX229" s="157">
        <f>IF($C229&gt;0,(IF($BU$7&gt;=$C229+1, (-FV(InflationRate,$BU$7,,$G229)), 0)),0)</f>
        <v>0</v>
      </c>
      <c r="BY229" s="160">
        <f>IF($C229&gt;0,(IF($C229=$BY$7,(-FV(InflationRate,$BY$7,,$D229)),0)),0)</f>
        <v>0</v>
      </c>
      <c r="BZ229" s="150">
        <f>IF($C229&gt;0,(IF($BY$7&gt;=$C229+1, (-FV(InflationRate,$BY$7,,$E229)), 0)),0)</f>
        <v>0</v>
      </c>
      <c r="CA229" s="150">
        <f>IF($C229&gt;0,(IF($BY$7&gt;=$C229+1, (-FV(InflationRate,$BY$7,,$F229)), 0)),0)</f>
        <v>0</v>
      </c>
      <c r="CB229" s="176">
        <f>IF($C229&gt;0,(IF($BY$7&gt;=$C229+1, (-FV(InflationRate,$BY$7,,$G229)), 0)),0)</f>
        <v>0</v>
      </c>
      <c r="CC229" s="168">
        <f>IF($C229&gt;0,(IF($C229=$CC$7,(-FV(InflationRate,$CC$7,,$D229)),0)),0)</f>
        <v>0</v>
      </c>
      <c r="CD229" s="149">
        <f>IF($C229&gt;0,(IF($CC$7&gt;=$C229+1, (-FV(InflationRate,$CC$7,,$E229)), 0)),0)</f>
        <v>0</v>
      </c>
      <c r="CE229" s="149">
        <f>IF($C229&gt;0,(IF($CC$7&gt;=$C229+1, (-FV(InflationRate,$CC$7,,$F229)), 0)),0)</f>
        <v>0</v>
      </c>
      <c r="CF229" s="157">
        <f>IF($C229&gt;0,(IF($CC$7&gt;=$C229+1, (-FV(InflationRate,$CC$7,,$G229)), 0)),0)</f>
        <v>0</v>
      </c>
      <c r="CG229" s="160">
        <f>IF($C229&gt;0,(IF($C229=$CG$7,(-FV(InflationRate,$CG$7,,$D229)),0)),0)</f>
        <v>0</v>
      </c>
      <c r="CH229" s="150">
        <f>IF($C229&gt;0,(IF($CG$7&gt;=$C229+1, (-FV(InflationRate,$CG$7,,$E229)), 0)),0)</f>
        <v>0</v>
      </c>
      <c r="CI229" s="150">
        <f>IF($C229&gt;0,(IF($CG$7&gt;=$C229+1, (-FV(InflationRate,$CG$7,,$F229)), 0)),0)</f>
        <v>0</v>
      </c>
      <c r="CJ229" s="176">
        <f>IF($C229&gt;0,(IF($CG$7&gt;=$C229+1, (-FV(InflationRate,$CG$7,,$G229)), 0)),0)</f>
        <v>0</v>
      </c>
      <c r="CK229" s="168">
        <f>IF($C229&gt;0,(IF($C229=$CK$7,(-FV(InflationRate,$CK$7,,$D229)),0)),0)</f>
        <v>0</v>
      </c>
      <c r="CL229" s="149">
        <f>IF($C229&gt;0,(IF($CK$7&gt;=$C229+1, (-FV(InflationRate,$CK$7,,$E229)), 0)),0)</f>
        <v>0</v>
      </c>
      <c r="CM229" s="149">
        <f>IF($C229&gt;0,(IF($CK$7&gt;=$C229+1, (-FV(InflationRate,$CK$7,,$F229)), 0)),0)</f>
        <v>0</v>
      </c>
      <c r="CN229" s="157">
        <f>IF($C229&gt;0,(IF($CK$7&gt;=$C229+1, (-FV(InflationRate,$CK$7,,$G229)), 0)),0)</f>
        <v>0</v>
      </c>
      <c r="CO229" s="160">
        <f>IF($C229&gt;0,(IF($C229=$CO$7,(-FV(InflationRate,$CO$7,,$D229)),0)),0)</f>
        <v>0</v>
      </c>
      <c r="CP229" s="150">
        <f>IF($C229&gt;0,(IF($CO$7&gt;=$C229+1, (-FV(InflationRate,$CO$7,,$E229)), 0)),0)</f>
        <v>0</v>
      </c>
      <c r="CQ229" s="150">
        <f>IF($C229&gt;0,(IF($CO$7&gt;=$C229+1, (-FV(InflationRate,$CO$7,,$F229)), 0)),0)</f>
        <v>0</v>
      </c>
      <c r="CR229" s="176">
        <f>IF($C229&gt;0,(IF($CO$7&gt;=$C229+1, (-FV(InflationRate,$CO$7,,$G229)), 0)),0)</f>
        <v>0</v>
      </c>
      <c r="CS229" s="168">
        <f>IF($C229&gt;0,(IF($C229=$CS$7,(-FV(InflationRate,$CS$7,,$D229)),0)),0)</f>
        <v>0</v>
      </c>
      <c r="CT229" s="149">
        <f>IF($C229&gt;0,(IF($CS$7&gt;=$C229+1, (-FV(InflationRate,$CS$7,,$E229)), 0)),0)</f>
        <v>0</v>
      </c>
      <c r="CU229" s="149">
        <f>IF($C229&gt;0,(IF($CS$7&gt;=$C229+1, (-FV(InflationRate,$CS$7,,$F229)), 0)),0)</f>
        <v>0</v>
      </c>
      <c r="CV229" s="157">
        <f>IF($C229&gt;0,(IF($CS$7&gt;=$C229+1, (-FV(InflationRate,$CS$7,,$G229)), 0)),0)</f>
        <v>0</v>
      </c>
      <c r="CW229" s="160">
        <f>IF($C229&gt;0,(IF($C229=$CW$7,(-FV(InflationRate,$CW$7,,$D229)),0)),0)</f>
        <v>0</v>
      </c>
      <c r="CX229" s="150">
        <f>IF($C229&gt;0,(IF($CW$7&gt;=$C229+1, (-FV(InflationRate,$CW$7,,$E229)), 0)),0)</f>
        <v>0</v>
      </c>
      <c r="CY229" s="150">
        <f>IF($C229&gt;0,(IF($CW$7&gt;=$C229+1, (-FV(InflationRate,$CW$7,,$F229)), 0)),0)</f>
        <v>0</v>
      </c>
      <c r="CZ229" s="176">
        <f>IF($C229&gt;0,(IF($CW$7&gt;=$C229+1, (-FV(InflationRate,$CW$7,,$G229)), 0)),0)</f>
        <v>0</v>
      </c>
      <c r="DA229" s="168">
        <f>IF($C229&gt;0,(IF($C229=$DA$7,(-FV(InflationRate,$DA$7,,$D229)),0)),0)</f>
        <v>0</v>
      </c>
      <c r="DB229" s="149">
        <f>IF($C229&gt;0,(IF($DA$7&gt;=$C229+1, (-FV(InflationRate,$DA$7,,$E229)), 0)),0)</f>
        <v>0</v>
      </c>
      <c r="DC229" s="149">
        <f>IF($C229&gt;0,(IF($DA$7&gt;=$C229+1, (-FV(InflationRate,$DA$7,,$F229)), 0)),0)</f>
        <v>0</v>
      </c>
      <c r="DD229" s="157">
        <f>IF($C229&gt;0,(IF($DA$7&gt;=$C229+1, (-FV(InflationRate,$DA$7,,$G229)), 0)),0)</f>
        <v>0</v>
      </c>
    </row>
    <row r="230" spans="2:108" hidden="1" x14ac:dyDescent="0.2">
      <c r="B230" s="183" t="s">
        <v>203</v>
      </c>
      <c r="C230" s="556"/>
      <c r="D230" s="169"/>
      <c r="E230" s="155"/>
      <c r="F230" s="155">
        <f>F227</f>
        <v>0</v>
      </c>
      <c r="G230" s="155"/>
      <c r="H230" s="168">
        <f>SUM(I230:AB230)</f>
        <v>0</v>
      </c>
      <c r="I230" s="610">
        <f>-PV(InterestRate,I$8,,(SUM(AC230:AF230)))</f>
        <v>0</v>
      </c>
      <c r="J230" s="610">
        <f>-PV(InterestRate,J$8,,(SUM(AG230:AJ230)))</f>
        <v>0</v>
      </c>
      <c r="K230" s="610">
        <f>-PV(InterestRate,K$8,,(SUM(AK230:AN230)))</f>
        <v>0</v>
      </c>
      <c r="L230" s="610">
        <f>-PV(InterestRate,L$8,,(SUM(AO230:AR230)))</f>
        <v>0</v>
      </c>
      <c r="M230" s="610">
        <f>-PV(InterestRate,M$8,,(SUM(AS230:AV230)))</f>
        <v>0</v>
      </c>
      <c r="N230" s="610">
        <f>-PV(InterestRate,N$8,,(SUM(AW230:AZ230)))</f>
        <v>0</v>
      </c>
      <c r="O230" s="610">
        <f>-PV(InterestRate,O$8,,(SUM(BA230:BD230)))</f>
        <v>0</v>
      </c>
      <c r="P230" s="610">
        <f>-PV(InterestRate,P$8,,(SUM(BE230:BH230)))</f>
        <v>0</v>
      </c>
      <c r="Q230" s="610">
        <f>-PV(InterestRate,Q$8,,(SUM(BI230:BL230)))</f>
        <v>0</v>
      </c>
      <c r="R230" s="610">
        <f>-PV(InterestRate,R$8,,(SUM(BM230:BP230)))</f>
        <v>0</v>
      </c>
      <c r="S230" s="610">
        <f>-PV(InterestRate,S$8,,(SUM(BQ230:BT230)))</f>
        <v>0</v>
      </c>
      <c r="T230" s="610">
        <f>-PV(InterestRate,T$8,,(SUM(BU230:BX230)))</f>
        <v>0</v>
      </c>
      <c r="U230" s="610">
        <f>-PV(InterestRate,U$8,,(SUM(BY230:CB230)))</f>
        <v>0</v>
      </c>
      <c r="V230" s="610">
        <f>-PV(InterestRate,V$8,,(SUM(CC230:CF230)))</f>
        <v>0</v>
      </c>
      <c r="W230" s="610">
        <f>-PV(InterestRate,W$8,,(SUM(CG230:CJ230)))</f>
        <v>0</v>
      </c>
      <c r="X230" s="610">
        <f>-PV(InterestRate,X$8,,(SUM(CK230:CN230)))</f>
        <v>0</v>
      </c>
      <c r="Y230" s="610">
        <f>-PV(InterestRate,Y$8,,(SUM(CO230:CR230)))</f>
        <v>0</v>
      </c>
      <c r="Z230" s="610">
        <f>-PV(InterestRate,Z$8,,(SUM(CS230:CV230)))</f>
        <v>0</v>
      </c>
      <c r="AA230" s="610">
        <f>-PV(InterestRate,AA$8,,(SUM(CW230:CZ230)))</f>
        <v>0</v>
      </c>
      <c r="AB230" s="611">
        <f>-PV(InterestRate,AB$8,,(SUM(DA230:DD230)))</f>
        <v>0</v>
      </c>
      <c r="AC230" s="174"/>
      <c r="AD230" s="150"/>
      <c r="AE230" s="150"/>
      <c r="AF230" s="165"/>
      <c r="AG230" s="168"/>
      <c r="AH230" s="149"/>
      <c r="AI230" s="149"/>
      <c r="AJ230" s="171"/>
      <c r="AK230" s="160"/>
      <c r="AL230" s="150"/>
      <c r="AM230" s="150"/>
      <c r="AN230" s="165"/>
      <c r="AO230" s="168">
        <f>IF($C230&gt;0,(IF($C230=$AO$7,(-FV(InflationRate,$AO$7,,$D230)),0)),0)</f>
        <v>0</v>
      </c>
      <c r="AP230" s="149">
        <f>IF($C230&gt;0,(IF($AO$7&gt;=$C230+1, (-FV(InflationRate,$AO$7,,$E230)), 0)),0)</f>
        <v>0</v>
      </c>
      <c r="AQ230" s="149">
        <f>IF($C230&gt;0,(IF($AO$7&gt;=$C230+1, (-FV(InflationRate,$AO$7,,$F230)), 0)),0)</f>
        <v>0</v>
      </c>
      <c r="AR230" s="157">
        <f>IF($C230&gt;0,(IF($AO$7&gt;=$C230+1, (-FV(InflationRate,$AO$7,,$G230)), 0)),0)</f>
        <v>0</v>
      </c>
      <c r="AS230" s="160">
        <f>IF($C230&gt;0,(IF($C230=$AS$7,(-FV(InflationRate,$AS$7,,$D230)),0)),0)</f>
        <v>0</v>
      </c>
      <c r="AT230" s="150">
        <f>IF($C230&gt;0,(IF($AS$7&gt;=$C230+1, (-FV(InflationRate,$AS$7,,$E230)), 0)),0)</f>
        <v>0</v>
      </c>
      <c r="AU230" s="150">
        <f>IF($C230&gt;0,(IF($AS$7&gt;=$C230+1, (-FV(InflationRate,$AS$7,,$F230)), 0)),0)</f>
        <v>0</v>
      </c>
      <c r="AV230" s="165">
        <f>IF($C230&gt;0,(IF($AS$7&gt;=$C230+1, (-FV(InflationRate,$AS$7,,$G230)), 0)),0)</f>
        <v>0</v>
      </c>
      <c r="AW230" s="168">
        <f>IF($C230&gt;0,(IF($C230=$AW$7,(-FV(InflationRate,$AW$7,,$D230)),0)),0)</f>
        <v>0</v>
      </c>
      <c r="AX230" s="149">
        <f>IF($C230&gt;0,(IF($AW$7&gt;=$C230+1, (-FV(InflationRate,$AW$7,,$E230)), 0)),0)</f>
        <v>0</v>
      </c>
      <c r="AY230" s="149">
        <f>IF($C230&gt;0,(IF($AW$7&gt;=$C230+1, (-FV(InflationRate,$AW$7,,$F230)), 0)),0)</f>
        <v>0</v>
      </c>
      <c r="AZ230" s="157">
        <f>IF($C230&gt;0,(IF($AW$7&gt;=$C230+1, (-FV(InflationRate,$AW$7,,$G230)), 0)),0)</f>
        <v>0</v>
      </c>
      <c r="BA230" s="160">
        <f>IF($C230&gt;0,(IF($C230=$BA$7,(-FV(InflationRate,$BA$7,,$D230)),0)),0)</f>
        <v>0</v>
      </c>
      <c r="BB230" s="150">
        <f>IF($C230&gt;0,(IF($BA$7&gt;=$C230+1, (-FV(InflationRate,$BA$7,,$E230)), 0)),0)</f>
        <v>0</v>
      </c>
      <c r="BC230" s="150">
        <f>IF($C230&gt;0,(IF($BA$7&gt;=$C230+1, (-FV(InflationRate,$BA$7,,$F230)), 0)),0)</f>
        <v>0</v>
      </c>
      <c r="BD230" s="176">
        <f>IF($C230&gt;0,(IF($BA$7&gt;=$C230+1, (-FV(InflationRate,$BA$7,,$G230)), 0)),0)</f>
        <v>0</v>
      </c>
      <c r="BE230" s="168">
        <f>IF($C230&gt;0,(IF($C230=$BE$7,(-FV(InflationRate,$BE$7,,$D230)),0)),0)</f>
        <v>0</v>
      </c>
      <c r="BF230" s="149">
        <f>IF($C230&gt;0,(IF($BE$7&gt;=$C230+1, (-FV(InflationRate,$BE$7,,$E230)), 0)),0)</f>
        <v>0</v>
      </c>
      <c r="BG230" s="149">
        <f>IF($C230&gt;0,(IF($BE$7&gt;=$C230+1, (-FV(InflationRate,$BE$7,,$F230)), 0)),0)</f>
        <v>0</v>
      </c>
      <c r="BH230" s="171">
        <f>IF($C230&gt;0,(IF($BE$7&gt;=$C230+1, (-FV(InflationRate,$BE$7,,$G230)), 0)),0)</f>
        <v>0</v>
      </c>
      <c r="BI230" s="160">
        <f>IF($C230&gt;0,(IF($C230=$BI$7,(-FV(InflationRate,$BI$7,,$D230)),0)),0)</f>
        <v>0</v>
      </c>
      <c r="BJ230" s="150">
        <f>IF($C230&gt;0,(IF($BI$7&gt;=$C230+1, (-FV(InflationRate,$BI$7,,$E230)), 0)),0)</f>
        <v>0</v>
      </c>
      <c r="BK230" s="150">
        <f>IF($C230&gt;0,(IF($BI$7&gt;=$C230+1, (-FV(InflationRate,$BI$7,,$F230)), 0)),0)</f>
        <v>0</v>
      </c>
      <c r="BL230" s="176">
        <f>IF($C230&gt;0,(IF($BI$7&gt;=$C230+1, (-FV(InflationRate,$BI$7,,$G230)), 0)),0)</f>
        <v>0</v>
      </c>
      <c r="BM230" s="168">
        <f>IF($C230&gt;0,(IF($C230=$BM$7,(-FV(InflationRate,$BM$7,,$D230)),0)),0)</f>
        <v>0</v>
      </c>
      <c r="BN230" s="149">
        <f>IF($C230&gt;0,(IF($BM$7&gt;=$C230+1, (-FV(InflationRate,$BM$7,,$E230)), 0)),0)</f>
        <v>0</v>
      </c>
      <c r="BO230" s="149">
        <f>IF($C230&gt;0,(IF($BM$7&gt;=$C230+1, (-FV(InflationRate,$BM$7,,$F230)), 0)),0)</f>
        <v>0</v>
      </c>
      <c r="BP230" s="157">
        <f>IF($C230&gt;0,(IF($BM$7&gt;=$C230+1, (-FV(InflationRate,$BM$7,,$G230)), 0)),0)</f>
        <v>0</v>
      </c>
      <c r="BQ230" s="160">
        <f>IF($C230&gt;0,(IF($C230=$BQ$7,(-FV(InflationRate,$BQ$7,,$D230)),0)),0)</f>
        <v>0</v>
      </c>
      <c r="BR230" s="150">
        <f>IF($C230&gt;0,(IF($BQ$7&gt;=$C230+1, (-FV(InflationRate,$BQ$7,,$E230)), 0)),0)</f>
        <v>0</v>
      </c>
      <c r="BS230" s="150">
        <f>IF($C230&gt;0,(IF($BQ$7&gt;=$C230+1, (-FV(InflationRate,$BQ$7,,$F230)), 0)),0)</f>
        <v>0</v>
      </c>
      <c r="BT230" s="176">
        <f>IF($C230&gt;0,(IF($BQ$7&gt;=$C230+1, (-FV(InflationRate,$BQ$7,,$G230)), 0)),0)</f>
        <v>0</v>
      </c>
      <c r="BU230" s="168">
        <f>IF($C230&gt;0,(IF($C230=$BU$7,(-FV(InflationRate,$BU$7,,$D230)),0)),0)</f>
        <v>0</v>
      </c>
      <c r="BV230" s="149">
        <f>IF($C230&gt;0,(IF($BU$7&gt;=$C230+1, (-FV(InflationRate,$BU$7,,$E230)), 0)),0)</f>
        <v>0</v>
      </c>
      <c r="BW230" s="149">
        <f>IF($C230&gt;0,(IF($BU$7&gt;=$C230+1, (-FV(InflationRate,$BU$7,,$F230)), 0)),0)</f>
        <v>0</v>
      </c>
      <c r="BX230" s="157">
        <f>IF($C230&gt;0,(IF($BU$7&gt;=$C230+1, (-FV(InflationRate,$BU$7,,$G230)), 0)),0)</f>
        <v>0</v>
      </c>
      <c r="BY230" s="160">
        <f>IF($C230&gt;0,(IF($C230=$BY$7,(-FV(InflationRate,$BY$7,,$D230)),0)),0)</f>
        <v>0</v>
      </c>
      <c r="BZ230" s="150">
        <f>IF($C230&gt;0,(IF($BY$7&gt;=$C230+1, (-FV(InflationRate,$BY$7,,$E230)), 0)),0)</f>
        <v>0</v>
      </c>
      <c r="CA230" s="150">
        <f>IF($C230&gt;0,(IF($BY$7&gt;=$C230+1, (-FV(InflationRate,$BY$7,,$F230)), 0)),0)</f>
        <v>0</v>
      </c>
      <c r="CB230" s="176">
        <f>IF($C230&gt;0,(IF($BY$7&gt;=$C230+1, (-FV(InflationRate,$BY$7,,$G230)), 0)),0)</f>
        <v>0</v>
      </c>
      <c r="CC230" s="168">
        <f>IF($C230&gt;0,(IF($C230=$CC$7,(-FV(InflationRate,$CC$7,,$D230)),0)),0)</f>
        <v>0</v>
      </c>
      <c r="CD230" s="149">
        <f>IF($C230&gt;0,(IF($CC$7&gt;=$C230+1, (-FV(InflationRate,$CC$7,,$E230)), 0)),0)</f>
        <v>0</v>
      </c>
      <c r="CE230" s="149">
        <f>IF($C230&gt;0,(IF($CC$7&gt;=$C230+1, (-FV(InflationRate,$CC$7,,$F230)), 0)),0)</f>
        <v>0</v>
      </c>
      <c r="CF230" s="157">
        <f>IF($C230&gt;0,(IF($CC$7&gt;=$C230+1, (-FV(InflationRate,$CC$7,,$G230)), 0)),0)</f>
        <v>0</v>
      </c>
      <c r="CG230" s="160">
        <f>IF($C230&gt;0,(IF($C230=$CG$7,(-FV(InflationRate,$CG$7,,$D230)),0)),0)</f>
        <v>0</v>
      </c>
      <c r="CH230" s="150">
        <f>IF($C230&gt;0,(IF($CG$7&gt;=$C230+1, (-FV(InflationRate,$CG$7,,$E230)), 0)),0)</f>
        <v>0</v>
      </c>
      <c r="CI230" s="150">
        <f>IF($C230&gt;0,(IF($CG$7&gt;=$C230+1, (-FV(InflationRate,$CG$7,,$F230)), 0)),0)</f>
        <v>0</v>
      </c>
      <c r="CJ230" s="176">
        <f>IF($C230&gt;0,(IF($CG$7&gt;=$C230+1, (-FV(InflationRate,$CG$7,,$G230)), 0)),0)</f>
        <v>0</v>
      </c>
      <c r="CK230" s="168">
        <f>IF($C230&gt;0,(IF($C230=$CK$7,(-FV(InflationRate,$CK$7,,$D230)),0)),0)</f>
        <v>0</v>
      </c>
      <c r="CL230" s="149">
        <f>IF($C230&gt;0,(IF($CK$7&gt;=$C230+1, (-FV(InflationRate,$CK$7,,$E230)), 0)),0)</f>
        <v>0</v>
      </c>
      <c r="CM230" s="149">
        <f>IF($C230&gt;0,(IF($CK$7&gt;=$C230+1, (-FV(InflationRate,$CK$7,,$F230)), 0)),0)</f>
        <v>0</v>
      </c>
      <c r="CN230" s="157">
        <f>IF($C230&gt;0,(IF($CK$7&gt;=$C230+1, (-FV(InflationRate,$CK$7,,$G230)), 0)),0)</f>
        <v>0</v>
      </c>
      <c r="CO230" s="160">
        <f>IF($C230&gt;0,(IF($C230=$CO$7,(-FV(InflationRate,$CO$7,,$D230)),0)),0)</f>
        <v>0</v>
      </c>
      <c r="CP230" s="150">
        <f>IF($C230&gt;0,(IF($CO$7&gt;=$C230+1, (-FV(InflationRate,$CO$7,,$E230)), 0)),0)</f>
        <v>0</v>
      </c>
      <c r="CQ230" s="150">
        <f>IF($C230&gt;0,(IF($CO$7&gt;=$C230+1, (-FV(InflationRate,$CO$7,,$F230)), 0)),0)</f>
        <v>0</v>
      </c>
      <c r="CR230" s="176">
        <f>IF($C230&gt;0,(IF($CO$7&gt;=$C230+1, (-FV(InflationRate,$CO$7,,$G230)), 0)),0)</f>
        <v>0</v>
      </c>
      <c r="CS230" s="168">
        <f>IF($C230&gt;0,(IF($C230=$CS$7,(-FV(InflationRate,$CS$7,,$D230)),0)),0)</f>
        <v>0</v>
      </c>
      <c r="CT230" s="149">
        <f>IF($C230&gt;0,(IF($CS$7&gt;=$C230+1, (-FV(InflationRate,$CS$7,,$E230)), 0)),0)</f>
        <v>0</v>
      </c>
      <c r="CU230" s="149">
        <f>IF($C230&gt;0,(IF($CS$7&gt;=$C230+1, (-FV(InflationRate,$CS$7,,$F230)), 0)),0)</f>
        <v>0</v>
      </c>
      <c r="CV230" s="157">
        <f>IF($C230&gt;0,(IF($CS$7&gt;=$C230+1, (-FV(InflationRate,$CS$7,,$G230)), 0)),0)</f>
        <v>0</v>
      </c>
      <c r="CW230" s="160">
        <f>IF($C230&gt;0,(IF($C230=$CW$7,(-FV(InflationRate,$CW$7,,$D230)),0)),0)</f>
        <v>0</v>
      </c>
      <c r="CX230" s="150">
        <f>IF($C230&gt;0,(IF($CW$7&gt;=$C230+1, (-FV(InflationRate,$CW$7,,$E230)), 0)),0)</f>
        <v>0</v>
      </c>
      <c r="CY230" s="150">
        <f>IF($C230&gt;0,(IF($CW$7&gt;=$C230+1, (-FV(InflationRate,$CW$7,,$F230)), 0)),0)</f>
        <v>0</v>
      </c>
      <c r="CZ230" s="176">
        <f>IF($C230&gt;0,(IF($CW$7&gt;=$C230+1, (-FV(InflationRate,$CW$7,,$G230)), 0)),0)</f>
        <v>0</v>
      </c>
      <c r="DA230" s="168">
        <f>IF($C230&gt;0,(IF($C230=$DA$7,(-FV(InflationRate,$DA$7,,$D230)),0)),0)</f>
        <v>0</v>
      </c>
      <c r="DB230" s="149">
        <f>IF($C230&gt;0,(IF($DA$7&gt;=$C230+1, (-FV(InflationRate,$DA$7,,$E230)), 0)),0)</f>
        <v>0</v>
      </c>
      <c r="DC230" s="149">
        <f>IF($C230&gt;0,(IF($DA$7&gt;=$C230+1, (-FV(InflationRate,$DA$7,,$F230)), 0)),0)</f>
        <v>0</v>
      </c>
      <c r="DD230" s="157">
        <f>IF($C230&gt;0,(IF($DA$7&gt;=$C230+1, (-FV(InflationRate,$DA$7,,$G230)), 0)),0)</f>
        <v>0</v>
      </c>
    </row>
    <row r="231" spans="2:108" x14ac:dyDescent="0.2">
      <c r="B231" s="183"/>
      <c r="C231" s="190" t="s">
        <v>372</v>
      </c>
      <c r="D231" s="223">
        <f>D126+D127+D131+D132+D136+D137+D141+D142+D146+D147+D151+D152+D156+D157+D162+D163+D167+D168+D172+D173+D177+D178+D182+D183+D187+D188+D192+D193+D198+D199+D203+D204+D208+D209+D213+D214+D218+D219+D223+D224+D228+D229</f>
        <v>24695500</v>
      </c>
      <c r="E231" s="224">
        <f>E127+E132+E137+E142+E147+E152+E157+E163+E168+E173+E178+E183+E188+E193+E199+E204+E209+E214+E219+E224+E229</f>
        <v>781800</v>
      </c>
      <c r="F231" s="224">
        <f>F128+F133+F138+F143+F148+F153+F158+F164+F169+F174+F179+F184+F189+F194+F200+F205+F210+F215+F220+F225+F230</f>
        <v>1459300</v>
      </c>
      <c r="G231" s="226">
        <f>G127+G132+G137+G142+G147+G152+G157+G163+G168+G173+G178+G183+G188+G193+G199+G204+G209+G214+G219+G224+G229</f>
        <v>1723800</v>
      </c>
      <c r="H231" s="168"/>
      <c r="I231" s="610"/>
      <c r="J231" s="610"/>
      <c r="K231" s="610"/>
      <c r="L231" s="610"/>
      <c r="M231" s="610"/>
      <c r="N231" s="610"/>
      <c r="O231" s="610"/>
      <c r="P231" s="610"/>
      <c r="Q231" s="610"/>
      <c r="R231" s="610"/>
      <c r="S231" s="610"/>
      <c r="T231" s="610"/>
      <c r="U231" s="610"/>
      <c r="V231" s="610"/>
      <c r="W231" s="610"/>
      <c r="X231" s="610"/>
      <c r="Y231" s="610"/>
      <c r="Z231" s="610"/>
      <c r="AA231" s="610"/>
      <c r="AB231" s="611"/>
      <c r="AC231" s="617">
        <f>SUBTOTAL(9,AC126:AC215)</f>
        <v>675300</v>
      </c>
      <c r="AD231" s="618">
        <f t="shared" ref="AD231:CO231" si="3">SUBTOTAL(9,AD126:AD215)</f>
        <v>0</v>
      </c>
      <c r="AE231" s="618">
        <f t="shared" si="3"/>
        <v>0</v>
      </c>
      <c r="AF231" s="619">
        <f t="shared" si="3"/>
        <v>0</v>
      </c>
      <c r="AG231" s="620">
        <f t="shared" si="3"/>
        <v>720351.1</v>
      </c>
      <c r="AH231" s="621">
        <f t="shared" si="3"/>
        <v>382136.17999999993</v>
      </c>
      <c r="AI231" s="621">
        <f t="shared" si="3"/>
        <v>0</v>
      </c>
      <c r="AJ231" s="622">
        <f t="shared" si="3"/>
        <v>172290.15999999997</v>
      </c>
      <c r="AK231" s="617">
        <f t="shared" si="3"/>
        <v>269794.29629999999</v>
      </c>
      <c r="AL231" s="618">
        <f t="shared" si="3"/>
        <v>393600.26540000003</v>
      </c>
      <c r="AM231" s="618">
        <f t="shared" si="3"/>
        <v>23275.0851</v>
      </c>
      <c r="AN231" s="619">
        <f t="shared" si="3"/>
        <v>469544.79190000007</v>
      </c>
      <c r="AO231" s="620">
        <f t="shared" si="3"/>
        <v>2412865.7868779995</v>
      </c>
      <c r="AP231" s="621">
        <f t="shared" si="3"/>
        <v>405408.27336200001</v>
      </c>
      <c r="AQ231" s="621">
        <f t="shared" si="3"/>
        <v>690049.45141099999</v>
      </c>
      <c r="AR231" s="622">
        <f t="shared" si="3"/>
        <v>616891.378761</v>
      </c>
      <c r="AS231" s="617">
        <f t="shared" si="3"/>
        <v>2048205.4344732398</v>
      </c>
      <c r="AT231" s="618">
        <f t="shared" si="3"/>
        <v>0</v>
      </c>
      <c r="AU231" s="618">
        <f t="shared" si="3"/>
        <v>617893.08160189993</v>
      </c>
      <c r="AV231" s="619">
        <f t="shared" si="3"/>
        <v>137258.05039711998</v>
      </c>
      <c r="AW231" s="620">
        <f t="shared" si="3"/>
        <v>6025665.5092039453</v>
      </c>
      <c r="AX231" s="621">
        <f t="shared" si="3"/>
        <v>405977.78081986</v>
      </c>
      <c r="AY231" s="621">
        <f t="shared" si="3"/>
        <v>636429.87404995691</v>
      </c>
      <c r="AZ231" s="622">
        <f t="shared" si="3"/>
        <v>282751.58381806716</v>
      </c>
      <c r="BA231" s="617">
        <f t="shared" si="3"/>
        <v>16456450.243704015</v>
      </c>
      <c r="BB231" s="618">
        <f t="shared" si="3"/>
        <v>418157.11424445576</v>
      </c>
      <c r="BC231" s="618">
        <f t="shared" si="3"/>
        <v>1179940.9864886203</v>
      </c>
      <c r="BD231" s="619">
        <f t="shared" si="3"/>
        <v>983284.15540718357</v>
      </c>
      <c r="BE231" s="620">
        <f t="shared" si="3"/>
        <v>0</v>
      </c>
      <c r="BF231" s="621">
        <f t="shared" si="3"/>
        <v>516842.19320614729</v>
      </c>
      <c r="BG231" s="621">
        <f t="shared" si="3"/>
        <v>1512396.8001686744</v>
      </c>
      <c r="BH231" s="622">
        <f t="shared" si="3"/>
        <v>1478320.6849793477</v>
      </c>
      <c r="BI231" s="617">
        <f t="shared" si="3"/>
        <v>0</v>
      </c>
      <c r="BJ231" s="618">
        <f t="shared" si="3"/>
        <v>532347.45900233171</v>
      </c>
      <c r="BK231" s="618">
        <f t="shared" si="3"/>
        <v>1557768.7041737349</v>
      </c>
      <c r="BL231" s="619">
        <f t="shared" si="3"/>
        <v>1522670.3055287283</v>
      </c>
      <c r="BM231" s="620">
        <f t="shared" si="3"/>
        <v>0</v>
      </c>
      <c r="BN231" s="621">
        <f t="shared" si="3"/>
        <v>548317.88277240167</v>
      </c>
      <c r="BO231" s="621">
        <f t="shared" si="3"/>
        <v>1604501.765298947</v>
      </c>
      <c r="BP231" s="622">
        <f t="shared" si="3"/>
        <v>1568350.41469459</v>
      </c>
      <c r="BQ231" s="617">
        <f t="shared" si="3"/>
        <v>0</v>
      </c>
      <c r="BR231" s="618">
        <f t="shared" si="3"/>
        <v>564767.41925557377</v>
      </c>
      <c r="BS231" s="618">
        <f t="shared" si="3"/>
        <v>1652636.8182579153</v>
      </c>
      <c r="BT231" s="619">
        <f t="shared" si="3"/>
        <v>1615400.9271354279</v>
      </c>
      <c r="BU231" s="620">
        <f t="shared" si="3"/>
        <v>0</v>
      </c>
      <c r="BV231" s="621">
        <f t="shared" si="3"/>
        <v>581710.44183324091</v>
      </c>
      <c r="BW231" s="621">
        <f t="shared" si="3"/>
        <v>1702215.9228056527</v>
      </c>
      <c r="BX231" s="622">
        <f t="shared" si="3"/>
        <v>1663862.9549494905</v>
      </c>
      <c r="BY231" s="617">
        <f t="shared" si="3"/>
        <v>0</v>
      </c>
      <c r="BZ231" s="618">
        <f t="shared" si="3"/>
        <v>599161.75508823805</v>
      </c>
      <c r="CA231" s="618">
        <f t="shared" si="3"/>
        <v>1753282.4004898223</v>
      </c>
      <c r="CB231" s="619">
        <f t="shared" si="3"/>
        <v>1713778.8435979751</v>
      </c>
      <c r="CC231" s="620">
        <f t="shared" si="3"/>
        <v>0</v>
      </c>
      <c r="CD231" s="621">
        <f t="shared" si="3"/>
        <v>617136.60774088535</v>
      </c>
      <c r="CE231" s="621">
        <f t="shared" si="3"/>
        <v>1805880.8725045167</v>
      </c>
      <c r="CF231" s="622">
        <f t="shared" si="3"/>
        <v>1765192.2089059143</v>
      </c>
      <c r="CG231" s="617">
        <f t="shared" si="3"/>
        <v>0</v>
      </c>
      <c r="CH231" s="618">
        <f t="shared" si="3"/>
        <v>635650.70597311191</v>
      </c>
      <c r="CI231" s="618">
        <f t="shared" si="3"/>
        <v>1860057.2986796529</v>
      </c>
      <c r="CJ231" s="619">
        <f t="shared" si="3"/>
        <v>1818147.975173092</v>
      </c>
      <c r="CK231" s="620">
        <f t="shared" si="3"/>
        <v>0</v>
      </c>
      <c r="CL231" s="621">
        <f t="shared" si="3"/>
        <v>654720.22715230507</v>
      </c>
      <c r="CM231" s="621">
        <f t="shared" si="3"/>
        <v>1915859.0176400417</v>
      </c>
      <c r="CN231" s="622">
        <f t="shared" si="3"/>
        <v>1872692.4144282844</v>
      </c>
      <c r="CO231" s="617">
        <f t="shared" si="3"/>
        <v>0</v>
      </c>
      <c r="CP231" s="618">
        <f t="shared" ref="CP231:DD231" si="4">SUBTOTAL(9,CP126:CP215)</f>
        <v>674361.83396687428</v>
      </c>
      <c r="CQ231" s="618">
        <f t="shared" si="4"/>
        <v>1973334.7881692431</v>
      </c>
      <c r="CR231" s="619">
        <f t="shared" si="4"/>
        <v>1928873.1868611327</v>
      </c>
      <c r="CS231" s="620">
        <f t="shared" si="4"/>
        <v>0</v>
      </c>
      <c r="CT231" s="621">
        <f t="shared" si="4"/>
        <v>694592.68898588058</v>
      </c>
      <c r="CU231" s="621">
        <f t="shared" si="4"/>
        <v>2032534.8318143205</v>
      </c>
      <c r="CV231" s="622">
        <f t="shared" si="4"/>
        <v>1986739.382466967</v>
      </c>
      <c r="CW231" s="617">
        <f t="shared" si="4"/>
        <v>0</v>
      </c>
      <c r="CX231" s="618">
        <f t="shared" si="4"/>
        <v>715430.46965545695</v>
      </c>
      <c r="CY231" s="618">
        <f t="shared" si="4"/>
        <v>2093510.8767687499</v>
      </c>
      <c r="CZ231" s="619">
        <f t="shared" si="4"/>
        <v>2046341.5639409763</v>
      </c>
      <c r="DA231" s="620">
        <f t="shared" si="4"/>
        <v>0</v>
      </c>
      <c r="DB231" s="621">
        <f t="shared" si="4"/>
        <v>736893.38374512061</v>
      </c>
      <c r="DC231" s="621">
        <f t="shared" si="4"/>
        <v>2156316.2030718126</v>
      </c>
      <c r="DD231" s="622">
        <f t="shared" si="4"/>
        <v>2107731.8108592052</v>
      </c>
    </row>
    <row r="232" spans="2:108" ht="12.75" thickBot="1" x14ac:dyDescent="0.25">
      <c r="B232" s="183"/>
      <c r="C232" s="189"/>
      <c r="D232" s="168"/>
      <c r="E232" s="149"/>
      <c r="G232" s="149"/>
      <c r="H232" s="168"/>
      <c r="I232" s="610"/>
      <c r="J232" s="610"/>
      <c r="K232" s="610"/>
      <c r="L232" s="610"/>
      <c r="M232" s="610"/>
      <c r="N232" s="610"/>
      <c r="O232" s="610"/>
      <c r="P232" s="610"/>
      <c r="Q232" s="610"/>
      <c r="R232" s="610"/>
      <c r="S232" s="610"/>
      <c r="T232" s="610"/>
      <c r="U232" s="610"/>
      <c r="V232" s="610"/>
      <c r="W232" s="610"/>
      <c r="X232" s="610"/>
      <c r="Y232" s="610"/>
      <c r="Z232" s="610"/>
      <c r="AA232" s="610"/>
      <c r="AB232" s="611"/>
      <c r="AC232" s="160"/>
      <c r="AD232" s="150"/>
      <c r="AE232" s="150"/>
      <c r="AF232" s="165"/>
      <c r="AG232" s="168"/>
      <c r="AH232" s="149"/>
      <c r="AI232" s="149"/>
      <c r="AJ232" s="171"/>
      <c r="AK232" s="160"/>
      <c r="AL232" s="150"/>
      <c r="AM232" s="150"/>
      <c r="AN232" s="165"/>
      <c r="AO232" s="168"/>
      <c r="AP232" s="149"/>
      <c r="AQ232" s="149"/>
      <c r="AR232" s="157"/>
      <c r="AS232" s="160"/>
      <c r="AT232" s="150"/>
      <c r="AU232" s="150"/>
      <c r="AV232" s="165"/>
      <c r="AW232" s="168"/>
      <c r="AX232" s="149"/>
      <c r="AY232" s="149"/>
      <c r="AZ232" s="157"/>
      <c r="BA232" s="160"/>
      <c r="BB232" s="150"/>
      <c r="BC232" s="150"/>
      <c r="BD232" s="176"/>
      <c r="BE232" s="168"/>
      <c r="BF232" s="149"/>
      <c r="BG232" s="149"/>
      <c r="BH232" s="171"/>
      <c r="BI232" s="160"/>
      <c r="BJ232" s="150"/>
      <c r="BK232" s="150"/>
      <c r="BL232" s="176"/>
      <c r="BM232" s="168"/>
      <c r="BN232" s="149"/>
      <c r="BO232" s="149"/>
      <c r="BP232" s="157"/>
      <c r="BQ232" s="160"/>
      <c r="BR232" s="150"/>
      <c r="BS232" s="150"/>
      <c r="BT232" s="176"/>
      <c r="BU232" s="168"/>
      <c r="BV232" s="149"/>
      <c r="BW232" s="149"/>
      <c r="BX232" s="157"/>
      <c r="BY232" s="160"/>
      <c r="BZ232" s="150"/>
      <c r="CA232" s="150"/>
      <c r="CB232" s="176"/>
      <c r="CC232" s="168"/>
      <c r="CD232" s="149"/>
      <c r="CE232" s="149"/>
      <c r="CF232" s="157"/>
      <c r="CG232" s="160"/>
      <c r="CH232" s="150"/>
      <c r="CI232" s="150"/>
      <c r="CJ232" s="176"/>
      <c r="CK232" s="168"/>
      <c r="CL232" s="149"/>
      <c r="CM232" s="149"/>
      <c r="CN232" s="157"/>
      <c r="CO232" s="160"/>
      <c r="CP232" s="150"/>
      <c r="CQ232" s="150"/>
      <c r="CR232" s="176"/>
      <c r="CS232" s="168"/>
      <c r="CT232" s="149"/>
      <c r="CU232" s="149"/>
      <c r="CV232" s="157"/>
      <c r="CW232" s="160"/>
      <c r="CX232" s="150"/>
      <c r="CY232" s="150"/>
      <c r="CZ232" s="176"/>
      <c r="DA232" s="168"/>
      <c r="DB232" s="149"/>
      <c r="DC232" s="149"/>
      <c r="DD232" s="157"/>
    </row>
    <row r="233" spans="2:108" ht="15.75" customHeight="1" thickBot="1" x14ac:dyDescent="0.25">
      <c r="B233" s="162" t="str">
        <f>Summary!B50</f>
        <v>Other Program Components</v>
      </c>
      <c r="C233" s="162"/>
      <c r="D233" s="162"/>
      <c r="E233" s="163"/>
      <c r="F233" s="163"/>
      <c r="G233" s="163"/>
      <c r="H233" s="162"/>
      <c r="I233" s="163"/>
      <c r="J233" s="163"/>
      <c r="K233" s="163"/>
      <c r="L233" s="163"/>
      <c r="M233" s="163"/>
      <c r="N233" s="163"/>
      <c r="O233" s="163"/>
      <c r="P233" s="163"/>
      <c r="Q233" s="163"/>
      <c r="R233" s="163"/>
      <c r="S233" s="163"/>
      <c r="T233" s="163"/>
      <c r="U233" s="163"/>
      <c r="V233" s="163"/>
      <c r="W233" s="163"/>
      <c r="X233" s="163"/>
      <c r="Y233" s="163"/>
      <c r="Z233" s="163"/>
      <c r="AA233" s="163"/>
      <c r="AB233" s="163"/>
      <c r="AC233" s="163"/>
      <c r="AD233" s="163"/>
      <c r="AE233" s="163"/>
      <c r="AF233" s="163"/>
      <c r="AG233" s="162"/>
      <c r="AH233" s="163"/>
      <c r="AI233" s="163"/>
      <c r="AJ233" s="163"/>
      <c r="AK233" s="162"/>
      <c r="AL233" s="163"/>
      <c r="AM233" s="163"/>
      <c r="AN233" s="163"/>
      <c r="AO233" s="162"/>
      <c r="AP233" s="163"/>
      <c r="AQ233" s="163"/>
      <c r="AR233" s="164"/>
      <c r="AS233" s="162"/>
      <c r="AT233" s="163"/>
      <c r="AU233" s="163"/>
      <c r="AV233" s="163"/>
      <c r="AW233" s="162"/>
      <c r="AX233" s="163"/>
      <c r="AY233" s="163"/>
      <c r="AZ233" s="164"/>
      <c r="BA233" s="162"/>
      <c r="BB233" s="163"/>
      <c r="BC233" s="163"/>
      <c r="BD233" s="164"/>
      <c r="BE233" s="162"/>
      <c r="BF233" s="163"/>
      <c r="BG233" s="163"/>
      <c r="BH233" s="163"/>
      <c r="BI233" s="162"/>
      <c r="BJ233" s="163"/>
      <c r="BK233" s="163"/>
      <c r="BL233" s="164"/>
      <c r="BM233" s="162"/>
      <c r="BN233" s="163"/>
      <c r="BO233" s="163"/>
      <c r="BP233" s="164"/>
      <c r="BQ233" s="162"/>
      <c r="BR233" s="163"/>
      <c r="BS233" s="163"/>
      <c r="BT233" s="164"/>
      <c r="BU233" s="162"/>
      <c r="BV233" s="163"/>
      <c r="BW233" s="163"/>
      <c r="BX233" s="164"/>
      <c r="BY233" s="162"/>
      <c r="BZ233" s="163"/>
      <c r="CA233" s="163"/>
      <c r="CB233" s="164"/>
      <c r="CC233" s="162"/>
      <c r="CD233" s="163"/>
      <c r="CE233" s="163"/>
      <c r="CF233" s="164"/>
      <c r="CG233" s="162"/>
      <c r="CH233" s="163"/>
      <c r="CI233" s="163"/>
      <c r="CJ233" s="164"/>
      <c r="CK233" s="162"/>
      <c r="CL233" s="163"/>
      <c r="CM233" s="163"/>
      <c r="CN233" s="164"/>
      <c r="CO233" s="162"/>
      <c r="CP233" s="163"/>
      <c r="CQ233" s="163"/>
      <c r="CR233" s="164"/>
      <c r="CS233" s="162"/>
      <c r="CT233" s="163"/>
      <c r="CU233" s="163"/>
      <c r="CV233" s="164"/>
      <c r="CW233" s="162"/>
      <c r="CX233" s="163"/>
      <c r="CY233" s="163"/>
      <c r="CZ233" s="164"/>
      <c r="DA233" s="162"/>
      <c r="DB233" s="163"/>
      <c r="DC233" s="163"/>
      <c r="DD233" s="164"/>
    </row>
    <row r="234" spans="2:108" x14ac:dyDescent="0.2">
      <c r="B234" s="183"/>
      <c r="C234" s="189"/>
      <c r="D234" s="168"/>
      <c r="E234" s="149"/>
      <c r="F234" s="149"/>
      <c r="G234" s="149"/>
      <c r="H234" s="168"/>
      <c r="I234" s="610"/>
      <c r="J234" s="610"/>
      <c r="K234" s="610"/>
      <c r="L234" s="610"/>
      <c r="M234" s="610"/>
      <c r="N234" s="610"/>
      <c r="O234" s="610"/>
      <c r="P234" s="610"/>
      <c r="Q234" s="610"/>
      <c r="R234" s="610"/>
      <c r="S234" s="610"/>
      <c r="T234" s="610"/>
      <c r="U234" s="610"/>
      <c r="V234" s="610"/>
      <c r="W234" s="610"/>
      <c r="X234" s="610"/>
      <c r="Y234" s="610"/>
      <c r="Z234" s="610"/>
      <c r="AA234" s="610"/>
      <c r="AB234" s="611"/>
      <c r="AC234" s="160"/>
      <c r="AD234" s="150"/>
      <c r="AE234" s="150"/>
      <c r="AF234" s="165"/>
      <c r="AG234" s="168"/>
      <c r="AH234" s="149"/>
      <c r="AI234" s="149"/>
      <c r="AJ234" s="171"/>
      <c r="AK234" s="160"/>
      <c r="AL234" s="150"/>
      <c r="AM234" s="150"/>
      <c r="AN234" s="165"/>
      <c r="AO234" s="168"/>
      <c r="AP234" s="149"/>
      <c r="AQ234" s="149"/>
      <c r="AR234" s="157"/>
      <c r="AS234" s="160"/>
      <c r="AT234" s="150"/>
      <c r="AU234" s="150"/>
      <c r="AV234" s="165"/>
      <c r="AW234" s="168"/>
      <c r="AX234" s="149"/>
      <c r="AY234" s="149"/>
      <c r="AZ234" s="157"/>
      <c r="BA234" s="160"/>
      <c r="BB234" s="150"/>
      <c r="BC234" s="150"/>
      <c r="BD234" s="176"/>
      <c r="BE234" s="168"/>
      <c r="BF234" s="149"/>
      <c r="BG234" s="149"/>
      <c r="BH234" s="171"/>
      <c r="BI234" s="160"/>
      <c r="BJ234" s="150"/>
      <c r="BK234" s="150"/>
      <c r="BL234" s="176"/>
      <c r="BM234" s="168"/>
      <c r="BN234" s="149"/>
      <c r="BO234" s="149"/>
      <c r="BP234" s="157"/>
      <c r="BQ234" s="160"/>
      <c r="BR234" s="150"/>
      <c r="BS234" s="150"/>
      <c r="BT234" s="176"/>
      <c r="BU234" s="168"/>
      <c r="BV234" s="149"/>
      <c r="BW234" s="149"/>
      <c r="BX234" s="157"/>
      <c r="BY234" s="160"/>
      <c r="BZ234" s="150"/>
      <c r="CA234" s="150"/>
      <c r="CB234" s="176"/>
      <c r="CC234" s="168"/>
      <c r="CD234" s="149"/>
      <c r="CE234" s="149"/>
      <c r="CF234" s="157"/>
      <c r="CG234" s="160"/>
      <c r="CH234" s="150"/>
      <c r="CI234" s="150"/>
      <c r="CJ234" s="176"/>
      <c r="CK234" s="168"/>
      <c r="CL234" s="149"/>
      <c r="CM234" s="149"/>
      <c r="CN234" s="157"/>
      <c r="CO234" s="160"/>
      <c r="CP234" s="150"/>
      <c r="CQ234" s="150"/>
      <c r="CR234" s="176"/>
      <c r="CS234" s="168"/>
      <c r="CT234" s="149"/>
      <c r="CU234" s="149"/>
      <c r="CV234" s="157"/>
      <c r="CW234" s="160"/>
      <c r="CX234" s="150"/>
      <c r="CY234" s="150"/>
      <c r="CZ234" s="176"/>
      <c r="DA234" s="168"/>
      <c r="DB234" s="149"/>
      <c r="DC234" s="149"/>
      <c r="DD234" s="157"/>
    </row>
    <row r="235" spans="2:108" x14ac:dyDescent="0.2">
      <c r="B235" s="188" t="str">
        <f>Summary!B51</f>
        <v>Adaptive Management Implementation</v>
      </c>
      <c r="C235" s="189"/>
      <c r="D235" s="168"/>
      <c r="E235" s="149"/>
      <c r="F235" s="149"/>
      <c r="G235" s="149"/>
      <c r="H235" s="168"/>
      <c r="I235" s="610"/>
      <c r="J235" s="610"/>
      <c r="K235" s="610"/>
      <c r="L235" s="610"/>
      <c r="M235" s="610"/>
      <c r="N235" s="610"/>
      <c r="O235" s="610"/>
      <c r="P235" s="610"/>
      <c r="Q235" s="610"/>
      <c r="R235" s="610"/>
      <c r="S235" s="610"/>
      <c r="T235" s="610"/>
      <c r="U235" s="610"/>
      <c r="V235" s="610"/>
      <c r="W235" s="610"/>
      <c r="X235" s="610"/>
      <c r="Y235" s="610"/>
      <c r="Z235" s="610"/>
      <c r="AA235" s="610"/>
      <c r="AB235" s="611"/>
      <c r="AC235" s="160"/>
      <c r="AD235" s="150"/>
      <c r="AE235" s="150"/>
      <c r="AF235" s="165"/>
      <c r="AG235" s="168"/>
      <c r="AH235" s="149"/>
      <c r="AI235" s="149"/>
      <c r="AJ235" s="171"/>
      <c r="AK235" s="160"/>
      <c r="AL235" s="150"/>
      <c r="AM235" s="150"/>
      <c r="AN235" s="165"/>
      <c r="AO235" s="168"/>
      <c r="AP235" s="149"/>
      <c r="AQ235" s="149"/>
      <c r="AR235" s="157"/>
      <c r="AS235" s="160"/>
      <c r="AT235" s="150"/>
      <c r="AU235" s="150"/>
      <c r="AV235" s="165"/>
      <c r="AW235" s="168"/>
      <c r="AX235" s="149"/>
      <c r="AY235" s="149"/>
      <c r="AZ235" s="157"/>
      <c r="BA235" s="160"/>
      <c r="BB235" s="150"/>
      <c r="BC235" s="150"/>
      <c r="BD235" s="176"/>
      <c r="BE235" s="168"/>
      <c r="BF235" s="149"/>
      <c r="BG235" s="149"/>
      <c r="BH235" s="171"/>
      <c r="BI235" s="160"/>
      <c r="BJ235" s="150"/>
      <c r="BK235" s="150"/>
      <c r="BL235" s="176"/>
      <c r="BM235" s="168"/>
      <c r="BN235" s="149"/>
      <c r="BO235" s="149"/>
      <c r="BP235" s="157"/>
      <c r="BQ235" s="160"/>
      <c r="BR235" s="150"/>
      <c r="BS235" s="150"/>
      <c r="BT235" s="176"/>
      <c r="BU235" s="168"/>
      <c r="BV235" s="149"/>
      <c r="BW235" s="149"/>
      <c r="BX235" s="157"/>
      <c r="BY235" s="160"/>
      <c r="BZ235" s="150"/>
      <c r="CA235" s="150"/>
      <c r="CB235" s="176"/>
      <c r="CC235" s="168"/>
      <c r="CD235" s="149"/>
      <c r="CE235" s="149"/>
      <c r="CF235" s="157"/>
      <c r="CG235" s="160"/>
      <c r="CH235" s="150"/>
      <c r="CI235" s="150"/>
      <c r="CJ235" s="176"/>
      <c r="CK235" s="168"/>
      <c r="CL235" s="149"/>
      <c r="CM235" s="149"/>
      <c r="CN235" s="157"/>
      <c r="CO235" s="160"/>
      <c r="CP235" s="150"/>
      <c r="CQ235" s="150"/>
      <c r="CR235" s="176"/>
      <c r="CS235" s="168"/>
      <c r="CT235" s="149"/>
      <c r="CU235" s="149"/>
      <c r="CV235" s="157"/>
      <c r="CW235" s="160"/>
      <c r="CX235" s="150"/>
      <c r="CY235" s="150"/>
      <c r="CZ235" s="176"/>
      <c r="DA235" s="168"/>
      <c r="DB235" s="149"/>
      <c r="DC235" s="149"/>
      <c r="DD235" s="157"/>
    </row>
    <row r="236" spans="2:108" x14ac:dyDescent="0.2">
      <c r="B236" s="182" t="s">
        <v>290</v>
      </c>
      <c r="C236" s="556">
        <v>1</v>
      </c>
      <c r="D236" s="168">
        <f>'5-Year CIP'!L25-(SUM(D280:D282))</f>
        <v>267800</v>
      </c>
      <c r="E236" s="149">
        <v>0</v>
      </c>
      <c r="F236" s="149">
        <v>0</v>
      </c>
      <c r="G236" s="149">
        <v>0</v>
      </c>
      <c r="H236" s="168">
        <f t="shared" ref="H236" si="5">SUM(I236:AB236)</f>
        <v>263842.36453201971</v>
      </c>
      <c r="I236" s="610">
        <f t="shared" ref="I236" si="6">-PV(InterestRate,I$8,,(SUM(AC236:AF236)))</f>
        <v>263842.36453201971</v>
      </c>
      <c r="J236" s="610">
        <f t="shared" ref="J236" si="7">-PV(InterestRate,J$8,,(SUM(AG236:AJ236)))</f>
        <v>0</v>
      </c>
      <c r="K236" s="610">
        <f t="shared" ref="K236" si="8">-PV(InterestRate,K$8,,(SUM(AK236:AN236)))</f>
        <v>0</v>
      </c>
      <c r="L236" s="610">
        <f t="shared" ref="L236" si="9">-PV(InterestRate,L$8,,(SUM(AO236:AR236)))</f>
        <v>0</v>
      </c>
      <c r="M236" s="610">
        <f t="shared" ref="M236" si="10">-PV(InterestRate,M$8,,(SUM(AS236:AV236)))</f>
        <v>0</v>
      </c>
      <c r="N236" s="610">
        <f t="shared" ref="N236" si="11">-PV(InterestRate,N$8,,(SUM(AW236:AZ236)))</f>
        <v>0</v>
      </c>
      <c r="O236" s="610">
        <f t="shared" ref="O236" si="12">-PV(InterestRate,O$8,,(SUM(BA236:BD236)))</f>
        <v>0</v>
      </c>
      <c r="P236" s="610">
        <f t="shared" ref="P236" si="13">-PV(InterestRate,P$8,,(SUM(BE236:BH236)))</f>
        <v>0</v>
      </c>
      <c r="Q236" s="610">
        <f t="shared" ref="Q236" si="14">-PV(InterestRate,Q$8,,(SUM(BI236:BL236)))</f>
        <v>0</v>
      </c>
      <c r="R236" s="610">
        <f t="shared" ref="R236" si="15">-PV(InterestRate,R$8,,(SUM(BM236:BP236)))</f>
        <v>0</v>
      </c>
      <c r="S236" s="610">
        <f t="shared" ref="S236" si="16">-PV(InterestRate,S$8,,(SUM(BQ236:BT236)))</f>
        <v>0</v>
      </c>
      <c r="T236" s="610">
        <f t="shared" ref="T236" si="17">-PV(InterestRate,T$8,,(SUM(BU236:BX236)))</f>
        <v>0</v>
      </c>
      <c r="U236" s="610">
        <f t="shared" ref="U236" si="18">-PV(InterestRate,U$8,,(SUM(BY236:CB236)))</f>
        <v>0</v>
      </c>
      <c r="V236" s="610">
        <f t="shared" ref="V236" si="19">-PV(InterestRate,V$8,,(SUM(CC236:CF236)))</f>
        <v>0</v>
      </c>
      <c r="W236" s="610">
        <f t="shared" ref="W236" si="20">-PV(InterestRate,W$8,,(SUM(CG236:CJ236)))</f>
        <v>0</v>
      </c>
      <c r="X236" s="610">
        <f t="shared" ref="X236" si="21">-PV(InterestRate,X$8,,(SUM(CK236:CN236)))</f>
        <v>0</v>
      </c>
      <c r="Y236" s="610">
        <f t="shared" ref="Y236" si="22">-PV(InterestRate,Y$8,,(SUM(CO236:CR236)))</f>
        <v>0</v>
      </c>
      <c r="Z236" s="610">
        <f t="shared" ref="Z236" si="23">-PV(InterestRate,Z$8,,(SUM(CS236:CV236)))</f>
        <v>0</v>
      </c>
      <c r="AA236" s="610">
        <f t="shared" ref="AA236" si="24">-PV(InterestRate,AA$8,,(SUM(CW236:CZ236)))</f>
        <v>0</v>
      </c>
      <c r="AB236" s="611">
        <f t="shared" ref="AB236" si="25">-PV(InterestRate,AB$8,,(SUM(DA236:DD236)))</f>
        <v>0</v>
      </c>
      <c r="AC236" s="160">
        <f t="shared" ref="AC236:AC255" si="26">IF($C236&gt;0,(IF($C236=$AC$7,$D236,0)),0)</f>
        <v>267800</v>
      </c>
      <c r="AD236" s="150">
        <f t="shared" ref="AD236:AD255" si="27">IF($C236&gt;0,(IF($AC$7&gt;=$C236+1,$E236,0)),0)</f>
        <v>0</v>
      </c>
      <c r="AE236" s="150">
        <f t="shared" ref="AE236:AE255" si="28">IF($C236&gt;0,(IF($C236=$AC$7,$F236,0)),0)</f>
        <v>0</v>
      </c>
      <c r="AF236" s="165">
        <f t="shared" ref="AF236:AF255" si="29">IF($C236&gt;0,(IF($AC$7&gt;=$C236+1,$G236,0)),0)</f>
        <v>0</v>
      </c>
      <c r="AG236" s="168">
        <f t="shared" ref="AG236:AG255" si="30">IF($C236&gt;0,(IF($C236=$AG$7,(-FV(InflationRate,$AG$7,,$D236)),0)),0)</f>
        <v>0</v>
      </c>
      <c r="AH236" s="149">
        <f t="shared" ref="AH236:AH255" si="31">IF($C236&gt;0,(IF($AG$7&gt;=$C236+1, (-FV(InflationRate,$AG$7,,$E236)), 0)),0)</f>
        <v>0</v>
      </c>
      <c r="AI236" s="149">
        <f t="shared" ref="AI236:AI255" si="32">IF($C236&gt;0,(IF($AG$7&gt;=$C236+1, (-FV(InflationRate,$AG$7,,$F236)), 0)),0)</f>
        <v>0</v>
      </c>
      <c r="AJ236" s="171">
        <f t="shared" ref="AJ236:AJ255" si="33">IF($C236&gt;0,(IF($AG$7&gt;=$C236+1, (-FV(InflationRate,$AG$7,,$G236)), 0)),0)</f>
        <v>0</v>
      </c>
      <c r="AK236" s="160">
        <f t="shared" ref="AK236:AK255" si="34">IF($C236&gt;0,(IF($C236=$AK$7,(-FV(InflationRate,$AK$7,,$D236)),0)),0)</f>
        <v>0</v>
      </c>
      <c r="AL236" s="150">
        <f t="shared" ref="AL236:AL255" si="35">IF($C236&gt;0,(IF($AK$7&gt;=$C236+1, (-FV(InflationRate,$AK$7,,$E236)), 0)),0)</f>
        <v>0</v>
      </c>
      <c r="AM236" s="150">
        <f t="shared" ref="AM236:AM255" si="36">IF($C236&gt;0,(IF($AK$7&gt;=$C236+1, (-FV(InflationRate,$AK$7,,$F236)), 0)),0)</f>
        <v>0</v>
      </c>
      <c r="AN236" s="165">
        <f t="shared" ref="AN236:AN255" si="37">IF($C236&gt;0,(IF($AK$7&gt;=$C236+1, (-FV(InflationRate,$AK$7,,$G236)), 0)),0)</f>
        <v>0</v>
      </c>
      <c r="AO236" s="168">
        <f t="shared" ref="AO236:AO255" si="38">IF($C236&gt;0,(IF($C236=$AO$7,(-FV(InflationRate,$AO$7,,$D236)),0)),0)</f>
        <v>0</v>
      </c>
      <c r="AP236" s="149">
        <f t="shared" ref="AP236:AP255" si="39">IF($C236&gt;0,(IF($AO$7&gt;=$C236+1, (-FV(InflationRate,$AO$7,,$E236)), 0)),0)</f>
        <v>0</v>
      </c>
      <c r="AQ236" s="149">
        <f t="shared" ref="AQ236:AQ255" si="40">IF($C236&gt;0,(IF($AO$7&gt;=$C236+1, (-FV(InflationRate,$AO$7,,$F236)), 0)),0)</f>
        <v>0</v>
      </c>
      <c r="AR236" s="157">
        <f t="shared" ref="AR236:AR255" si="41">IF($C236&gt;0,(IF($AO$7&gt;=$C236+1, (-FV(InflationRate,$AO$7,,$G236)), 0)),0)</f>
        <v>0</v>
      </c>
      <c r="AS236" s="160">
        <f t="shared" ref="AS236:AS255" si="42">IF($C236&gt;0,(IF($C236=$AS$7,(-FV(InflationRate,$AS$7,,$D236)),0)),0)</f>
        <v>0</v>
      </c>
      <c r="AT236" s="150">
        <f t="shared" ref="AT236:AT255" si="43">IF($C236&gt;0,(IF($AS$7&gt;=$C236+1, (-FV(InflationRate,$AS$7,,$E236)), 0)),0)</f>
        <v>0</v>
      </c>
      <c r="AU236" s="150">
        <f t="shared" ref="AU236:AU255" si="44">IF($C236&gt;0,(IF($AS$7&gt;=$C236+1, (-FV(InflationRate,$AS$7,,$F236)), 0)),0)</f>
        <v>0</v>
      </c>
      <c r="AV236" s="165">
        <f t="shared" ref="AV236:AV255" si="45">IF($C236&gt;0,(IF($AS$7&gt;=$C236+1, (-FV(InflationRate,$AS$7,,$G236)), 0)),0)</f>
        <v>0</v>
      </c>
      <c r="AW236" s="168">
        <f t="shared" ref="AW236:AW255" si="46">IF($C236&gt;0,(IF($C236=$AW$7,(-FV(InflationRate,$AW$7,,$D236)),0)),0)</f>
        <v>0</v>
      </c>
      <c r="AX236" s="149">
        <f t="shared" ref="AX236:AX255" si="47">IF($C236&gt;0,(IF($AW$7&gt;=$C236+1, (-FV(InflationRate,$AW$7,,$E236)), 0)),0)</f>
        <v>0</v>
      </c>
      <c r="AY236" s="149">
        <f t="shared" ref="AY236:AY255" si="48">IF($C236&gt;0,(IF($AW$7&gt;=$C236+1, (-FV(InflationRate,$AW$7,,$F236)), 0)),0)</f>
        <v>0</v>
      </c>
      <c r="AZ236" s="157">
        <f t="shared" ref="AZ236:AZ255" si="49">IF($C236&gt;0,(IF($AW$7&gt;=$C236+1, (-FV(InflationRate,$AW$7,,$G236)), 0)),0)</f>
        <v>0</v>
      </c>
      <c r="BA236" s="160">
        <f t="shared" ref="BA236:BA255" si="50">IF($C236&gt;0,(IF($C236=$BA$7,(-FV(InflationRate,$BA$7,,$D236)),0)),0)</f>
        <v>0</v>
      </c>
      <c r="BB236" s="150">
        <f t="shared" ref="BB236:BB255" si="51">IF($C236&gt;0,(IF($BA$7&gt;=$C236+1, (-FV(InflationRate,$BA$7,,$E236)), 0)),0)</f>
        <v>0</v>
      </c>
      <c r="BC236" s="150">
        <f t="shared" ref="BC236:BC255" si="52">IF($C236&gt;0,(IF($BA$7&gt;=$C236+1, (-FV(InflationRate,$BA$7,,$F236)), 0)),0)</f>
        <v>0</v>
      </c>
      <c r="BD236" s="176">
        <f t="shared" ref="BD236:BD255" si="53">IF($C236&gt;0,(IF($BA$7&gt;=$C236+1, (-FV(InflationRate,$BA$7,,$G236)), 0)),0)</f>
        <v>0</v>
      </c>
      <c r="BE236" s="168">
        <f t="shared" ref="BE236:BE255" si="54">IF($C236&gt;0,(IF($C236=$BE$7,(-FV(InflationRate,$BE$7,,$D236)),0)),0)</f>
        <v>0</v>
      </c>
      <c r="BF236" s="149">
        <f t="shared" ref="BF236:BF255" si="55">IF($C236&gt;0,(IF($BE$7&gt;=$C236+1, (-FV(InflationRate,$BE$7,,$E236)), 0)),0)</f>
        <v>0</v>
      </c>
      <c r="BG236" s="149">
        <f t="shared" ref="BG236:BG255" si="56">IF($C236&gt;0,(IF($BE$7&gt;=$C236+1, (-FV(InflationRate,$BE$7,,$F236)), 0)),0)</f>
        <v>0</v>
      </c>
      <c r="BH236" s="171">
        <f t="shared" ref="BH236:BH255" si="57">IF($C236&gt;0,(IF($BE$7&gt;=$C236+1, (-FV(InflationRate,$BE$7,,$G236)), 0)),0)</f>
        <v>0</v>
      </c>
      <c r="BI236" s="160">
        <f t="shared" ref="BI236:BI255" si="58">IF($C236&gt;0,(IF($C236=$BI$7,(-FV(InflationRate,$BI$7,,$D236)),0)),0)</f>
        <v>0</v>
      </c>
      <c r="BJ236" s="150">
        <f t="shared" ref="BJ236:BJ255" si="59">IF($C236&gt;0,(IF($BI$7&gt;=$C236+1, (-FV(InflationRate,$BI$7,,$E236)), 0)),0)</f>
        <v>0</v>
      </c>
      <c r="BK236" s="150">
        <f t="shared" ref="BK236:BK255" si="60">IF($C236&gt;0,(IF($BI$7&gt;=$C236+1, (-FV(InflationRate,$BI$7,,$F236)), 0)),0)</f>
        <v>0</v>
      </c>
      <c r="BL236" s="176">
        <f t="shared" ref="BL236:BL255" si="61">IF($C236&gt;0,(IF($BI$7&gt;=$C236+1, (-FV(InflationRate,$BI$7,,$G236)), 0)),0)</f>
        <v>0</v>
      </c>
      <c r="BM236" s="168">
        <f t="shared" ref="BM236:BM255" si="62">IF($C236&gt;0,(IF($C236=$BM$7,(-FV(InflationRate,$BM$7,,$D236)),0)),0)</f>
        <v>0</v>
      </c>
      <c r="BN236" s="149">
        <f t="shared" ref="BN236:BN255" si="63">IF($C236&gt;0,(IF($BM$7&gt;=$C236+1, (-FV(InflationRate,$BM$7,,$E236)), 0)),0)</f>
        <v>0</v>
      </c>
      <c r="BO236" s="149">
        <f t="shared" ref="BO236:BO255" si="64">IF($C236&gt;0,(IF($BM$7&gt;=$C236+1, (-FV(InflationRate,$BM$7,,$F236)), 0)),0)</f>
        <v>0</v>
      </c>
      <c r="BP236" s="157">
        <f t="shared" ref="BP236:BP255" si="65">IF($C236&gt;0,(IF($BM$7&gt;=$C236+1, (-FV(InflationRate,$BM$7,,$G236)), 0)),0)</f>
        <v>0</v>
      </c>
      <c r="BQ236" s="160">
        <f t="shared" ref="BQ236:BQ255" si="66">IF($C236&gt;0,(IF($C236=$BQ$7,(-FV(InflationRate,$BQ$7,,$D236)),0)),0)</f>
        <v>0</v>
      </c>
      <c r="BR236" s="150">
        <f t="shared" ref="BR236:BR255" si="67">IF($C236&gt;0,(IF($BQ$7&gt;=$C236+1, (-FV(InflationRate,$BQ$7,,$E236)), 0)),0)</f>
        <v>0</v>
      </c>
      <c r="BS236" s="150">
        <f t="shared" ref="BS236:BS255" si="68">IF($C236&gt;0,(IF($BQ$7&gt;=$C236+1, (-FV(InflationRate,$BQ$7,,$F236)), 0)),0)</f>
        <v>0</v>
      </c>
      <c r="BT236" s="176">
        <f t="shared" ref="BT236:BT255" si="69">IF($C236&gt;0,(IF($BQ$7&gt;=$C236+1, (-FV(InflationRate,$BQ$7,,$G236)), 0)),0)</f>
        <v>0</v>
      </c>
      <c r="BU236" s="168">
        <f t="shared" ref="BU236:BU255" si="70">IF($C236&gt;0,(IF($C236=$BU$7,(-FV(InflationRate,$BU$7,,$D236)),0)),0)</f>
        <v>0</v>
      </c>
      <c r="BV236" s="149">
        <f t="shared" ref="BV236:BV255" si="71">IF($C236&gt;0,(IF($BU$7&gt;=$C236+1, (-FV(InflationRate,$BU$7,,$E236)), 0)),0)</f>
        <v>0</v>
      </c>
      <c r="BW236" s="149">
        <f t="shared" ref="BW236:BW255" si="72">IF($C236&gt;0,(IF($BU$7&gt;=$C236+1, (-FV(InflationRate,$BU$7,,$F236)), 0)),0)</f>
        <v>0</v>
      </c>
      <c r="BX236" s="157">
        <f t="shared" ref="BX236:BX255" si="73">IF($C236&gt;0,(IF($BU$7&gt;=$C236+1, (-FV(InflationRate,$BU$7,,$G236)), 0)),0)</f>
        <v>0</v>
      </c>
      <c r="BY236" s="160">
        <f t="shared" ref="BY236:BY255" si="74">IF($C236&gt;0,(IF($C236=$BY$7,(-FV(InflationRate,$BY$7,,$D236)),0)),0)</f>
        <v>0</v>
      </c>
      <c r="BZ236" s="150">
        <f t="shared" ref="BZ236:BZ255" si="75">IF($C236&gt;0,(IF($BY$7&gt;=$C236+1, (-FV(InflationRate,$BY$7,,$E236)), 0)),0)</f>
        <v>0</v>
      </c>
      <c r="CA236" s="150">
        <f t="shared" ref="CA236:CA255" si="76">IF($C236&gt;0,(IF($BY$7&gt;=$C236+1, (-FV(InflationRate,$BY$7,,$F236)), 0)),0)</f>
        <v>0</v>
      </c>
      <c r="CB236" s="176">
        <f t="shared" ref="CB236:CB255" si="77">IF($C236&gt;0,(IF($BY$7&gt;=$C236+1, (-FV(InflationRate,$BY$7,,$G236)), 0)),0)</f>
        <v>0</v>
      </c>
      <c r="CC236" s="168">
        <f t="shared" ref="CC236:CC255" si="78">IF($C236&gt;0,(IF($C236=$CC$7,(-FV(InflationRate,$CC$7,,$D236)),0)),0)</f>
        <v>0</v>
      </c>
      <c r="CD236" s="149">
        <f t="shared" ref="CD236:CD255" si="79">IF($C236&gt;0,(IF($CC$7&gt;=$C236+1, (-FV(InflationRate,$CC$7,,$E236)), 0)),0)</f>
        <v>0</v>
      </c>
      <c r="CE236" s="149">
        <f t="shared" ref="CE236:CE255" si="80">IF($C236&gt;0,(IF($CC$7&gt;=$C236+1, (-FV(InflationRate,$CC$7,,$F236)), 0)),0)</f>
        <v>0</v>
      </c>
      <c r="CF236" s="157">
        <f t="shared" ref="CF236:CF255" si="81">IF($C236&gt;0,(IF($CC$7&gt;=$C236+1, (-FV(InflationRate,$CC$7,,$G236)), 0)),0)</f>
        <v>0</v>
      </c>
      <c r="CG236" s="160">
        <f t="shared" ref="CG236:CG255" si="82">IF($C236&gt;0,(IF($C236=$CG$7,(-FV(InflationRate,$CG$7,,$D236)),0)),0)</f>
        <v>0</v>
      </c>
      <c r="CH236" s="150">
        <f t="shared" ref="CH236:CH255" si="83">IF($C236&gt;0,(IF($CG$7&gt;=$C236+1, (-FV(InflationRate,$CG$7,,$E236)), 0)),0)</f>
        <v>0</v>
      </c>
      <c r="CI236" s="150">
        <f t="shared" ref="CI236:CI255" si="84">IF($C236&gt;0,(IF($CG$7&gt;=$C236+1, (-FV(InflationRate,$CG$7,,$F236)), 0)),0)</f>
        <v>0</v>
      </c>
      <c r="CJ236" s="176">
        <f t="shared" ref="CJ236:CJ255" si="85">IF($C236&gt;0,(IF($CG$7&gt;=$C236+1, (-FV(InflationRate,$CG$7,,$G236)), 0)),0)</f>
        <v>0</v>
      </c>
      <c r="CK236" s="168">
        <f t="shared" ref="CK236:CK255" si="86">IF($C236&gt;0,(IF($C236=$CK$7,(-FV(InflationRate,$CK$7,,$D236)),0)),0)</f>
        <v>0</v>
      </c>
      <c r="CL236" s="149">
        <f t="shared" ref="CL236:CL255" si="87">IF($C236&gt;0,(IF($CK$7&gt;=$C236+1, (-FV(InflationRate,$CK$7,,$E236)), 0)),0)</f>
        <v>0</v>
      </c>
      <c r="CM236" s="149">
        <f t="shared" ref="CM236:CM255" si="88">IF($C236&gt;0,(IF($CK$7&gt;=$C236+1, (-FV(InflationRate,$CK$7,,$F236)), 0)),0)</f>
        <v>0</v>
      </c>
      <c r="CN236" s="157">
        <f t="shared" ref="CN236:CN255" si="89">IF($C236&gt;0,(IF($CK$7&gt;=$C236+1, (-FV(InflationRate,$CK$7,,$G236)), 0)),0)</f>
        <v>0</v>
      </c>
      <c r="CO236" s="160">
        <f t="shared" ref="CO236:CO255" si="90">IF($C236&gt;0,(IF($C236=$CO$7,(-FV(InflationRate,$CO$7,,$D236)),0)),0)</f>
        <v>0</v>
      </c>
      <c r="CP236" s="150">
        <f t="shared" ref="CP236:CP255" si="91">IF($C236&gt;0,(IF($CO$7&gt;=$C236+1, (-FV(InflationRate,$CO$7,,$E236)), 0)),0)</f>
        <v>0</v>
      </c>
      <c r="CQ236" s="150">
        <f t="shared" ref="CQ236:CQ255" si="92">IF($C236&gt;0,(IF($CO$7&gt;=$C236+1, (-FV(InflationRate,$CO$7,,$F236)), 0)),0)</f>
        <v>0</v>
      </c>
      <c r="CR236" s="176">
        <f t="shared" ref="CR236:CR255" si="93">IF($C236&gt;0,(IF($CO$7&gt;=$C236+1, (-FV(InflationRate,$CO$7,,$G236)), 0)),0)</f>
        <v>0</v>
      </c>
      <c r="CS236" s="168">
        <f t="shared" ref="CS236:CS255" si="94">IF($C236&gt;0,(IF($C236=$CS$7,(-FV(InflationRate,$CS$7,,$D236)),0)),0)</f>
        <v>0</v>
      </c>
      <c r="CT236" s="149">
        <f t="shared" ref="CT236:CT255" si="95">IF($C236&gt;0,(IF($CS$7&gt;=$C236+1, (-FV(InflationRate,$CS$7,,$E236)), 0)),0)</f>
        <v>0</v>
      </c>
      <c r="CU236" s="149">
        <f t="shared" ref="CU236:CU255" si="96">IF($C236&gt;0,(IF($CS$7&gt;=$C236+1, (-FV(InflationRate,$CS$7,,$F236)), 0)),0)</f>
        <v>0</v>
      </c>
      <c r="CV236" s="157">
        <f t="shared" ref="CV236:CV255" si="97">IF($C236&gt;0,(IF($CS$7&gt;=$C236+1, (-FV(InflationRate,$CS$7,,$G236)), 0)),0)</f>
        <v>0</v>
      </c>
      <c r="CW236" s="160">
        <f t="shared" ref="CW236:CW255" si="98">IF($C236&gt;0,(IF($C236=$CW$7,(-FV(InflationRate,$CW$7,,$D236)),0)),0)</f>
        <v>0</v>
      </c>
      <c r="CX236" s="150">
        <f t="shared" ref="CX236:CX255" si="99">IF($C236&gt;0,(IF($CW$7&gt;=$C236+1, (-FV(InflationRate,$CW$7,,$E236)), 0)),0)</f>
        <v>0</v>
      </c>
      <c r="CY236" s="150">
        <f t="shared" ref="CY236:CY255" si="100">IF($C236&gt;0,(IF($CW$7&gt;=$C236+1, (-FV(InflationRate,$CW$7,,$F236)), 0)),0)</f>
        <v>0</v>
      </c>
      <c r="CZ236" s="176">
        <f t="shared" ref="CZ236:CZ255" si="101">IF($C236&gt;0,(IF($CW$7&gt;=$C236+1, (-FV(InflationRate,$CW$7,,$G236)), 0)),0)</f>
        <v>0</v>
      </c>
      <c r="DA236" s="168">
        <f t="shared" ref="DA236:DA255" si="102">IF($C236&gt;0,(IF($C236=$DA$7,(-FV(InflationRate,$DA$7,,$D236)),0)),0)</f>
        <v>0</v>
      </c>
      <c r="DB236" s="149">
        <f t="shared" ref="DB236:DB255" si="103">IF($C236&gt;0,(IF($DA$7&gt;=$C236+1, (-FV(InflationRate,$DA$7,,$E236)), 0)),0)</f>
        <v>0</v>
      </c>
      <c r="DC236" s="149">
        <f t="shared" ref="DC236:DC255" si="104">IF($C236&gt;0,(IF($DA$7&gt;=$C236+1, (-FV(InflationRate,$DA$7,,$F236)), 0)),0)</f>
        <v>0</v>
      </c>
      <c r="DD236" s="157">
        <f t="shared" ref="DD236:DD255" si="105">IF($C236&gt;0,(IF($DA$7&gt;=$C236+1, (-FV(InflationRate,$DA$7,,$G236)), 0)),0)</f>
        <v>0</v>
      </c>
    </row>
    <row r="237" spans="2:108" x14ac:dyDescent="0.2">
      <c r="B237" s="182" t="s">
        <v>291</v>
      </c>
      <c r="C237" s="556">
        <v>2</v>
      </c>
      <c r="D237" s="168">
        <f>'5-Year CIP'!Q25</f>
        <v>343200</v>
      </c>
      <c r="E237" s="149">
        <v>0</v>
      </c>
      <c r="F237" s="149">
        <v>0</v>
      </c>
      <c r="G237" s="149">
        <v>0</v>
      </c>
      <c r="H237" s="168">
        <f t="shared" ref="H237:H243" si="106">SUM(I237:AB237)</f>
        <v>353418.79686476267</v>
      </c>
      <c r="I237" s="610">
        <f t="shared" ref="I237:I243" si="107">-PV(InterestRate,I$8,,(SUM(AC237:AF237)))</f>
        <v>0</v>
      </c>
      <c r="J237" s="610">
        <f t="shared" ref="J237:J243" si="108">-PV(InterestRate,J$8,,(SUM(AG237:AJ237)))</f>
        <v>353418.79686476267</v>
      </c>
      <c r="K237" s="610">
        <f t="shared" ref="K237:K243" si="109">-PV(InterestRate,K$8,,(SUM(AK237:AN237)))</f>
        <v>0</v>
      </c>
      <c r="L237" s="610">
        <f t="shared" ref="L237:L243" si="110">-PV(InterestRate,L$8,,(SUM(AO237:AR237)))</f>
        <v>0</v>
      </c>
      <c r="M237" s="610">
        <f t="shared" ref="M237:M243" si="111">-PV(InterestRate,M$8,,(SUM(AS237:AV237)))</f>
        <v>0</v>
      </c>
      <c r="N237" s="610">
        <f t="shared" ref="N237:N243" si="112">-PV(InterestRate,N$8,,(SUM(AW237:AZ237)))</f>
        <v>0</v>
      </c>
      <c r="O237" s="610">
        <f t="shared" ref="O237:O243" si="113">-PV(InterestRate,O$8,,(SUM(BA237:BD237)))</f>
        <v>0</v>
      </c>
      <c r="P237" s="610">
        <f t="shared" ref="P237:P243" si="114">-PV(InterestRate,P$8,,(SUM(BE237:BH237)))</f>
        <v>0</v>
      </c>
      <c r="Q237" s="610">
        <f t="shared" ref="Q237:Q243" si="115">-PV(InterestRate,Q$8,,(SUM(BI237:BL237)))</f>
        <v>0</v>
      </c>
      <c r="R237" s="610">
        <f t="shared" ref="R237:R243" si="116">-PV(InterestRate,R$8,,(SUM(BM237:BP237)))</f>
        <v>0</v>
      </c>
      <c r="S237" s="610">
        <f t="shared" ref="S237:S243" si="117">-PV(InterestRate,S$8,,(SUM(BQ237:BT237)))</f>
        <v>0</v>
      </c>
      <c r="T237" s="610">
        <f t="shared" ref="T237:T243" si="118">-PV(InterestRate,T$8,,(SUM(BU237:BX237)))</f>
        <v>0</v>
      </c>
      <c r="U237" s="610">
        <f t="shared" ref="U237:U243" si="119">-PV(InterestRate,U$8,,(SUM(BY237:CB237)))</f>
        <v>0</v>
      </c>
      <c r="V237" s="610">
        <f t="shared" ref="V237:V243" si="120">-PV(InterestRate,V$8,,(SUM(CC237:CF237)))</f>
        <v>0</v>
      </c>
      <c r="W237" s="610">
        <f t="shared" ref="W237:W243" si="121">-PV(InterestRate,W$8,,(SUM(CG237:CJ237)))</f>
        <v>0</v>
      </c>
      <c r="X237" s="610">
        <f t="shared" ref="X237:X243" si="122">-PV(InterestRate,X$8,,(SUM(CK237:CN237)))</f>
        <v>0</v>
      </c>
      <c r="Y237" s="610">
        <f t="shared" ref="Y237:Y243" si="123">-PV(InterestRate,Y$8,,(SUM(CO237:CR237)))</f>
        <v>0</v>
      </c>
      <c r="Z237" s="610">
        <f t="shared" ref="Z237:Z243" si="124">-PV(InterestRate,Z$8,,(SUM(CS237:CV237)))</f>
        <v>0</v>
      </c>
      <c r="AA237" s="610">
        <f t="shared" ref="AA237:AA243" si="125">-PV(InterestRate,AA$8,,(SUM(CW237:CZ237)))</f>
        <v>0</v>
      </c>
      <c r="AB237" s="611">
        <f t="shared" ref="AB237:AB243" si="126">-PV(InterestRate,AB$8,,(SUM(DA237:DD237)))</f>
        <v>0</v>
      </c>
      <c r="AC237" s="160">
        <f t="shared" si="26"/>
        <v>0</v>
      </c>
      <c r="AD237" s="150">
        <f t="shared" si="27"/>
        <v>0</v>
      </c>
      <c r="AE237" s="150">
        <f t="shared" si="28"/>
        <v>0</v>
      </c>
      <c r="AF237" s="165">
        <f t="shared" si="29"/>
        <v>0</v>
      </c>
      <c r="AG237" s="168">
        <f t="shared" si="30"/>
        <v>364100.88</v>
      </c>
      <c r="AH237" s="149">
        <f t="shared" si="31"/>
        <v>0</v>
      </c>
      <c r="AI237" s="149">
        <f t="shared" si="32"/>
        <v>0</v>
      </c>
      <c r="AJ237" s="171">
        <f t="shared" si="33"/>
        <v>0</v>
      </c>
      <c r="AK237" s="160">
        <f t="shared" si="34"/>
        <v>0</v>
      </c>
      <c r="AL237" s="150">
        <f t="shared" si="35"/>
        <v>0</v>
      </c>
      <c r="AM237" s="150">
        <f t="shared" si="36"/>
        <v>0</v>
      </c>
      <c r="AN237" s="165">
        <f t="shared" si="37"/>
        <v>0</v>
      </c>
      <c r="AO237" s="168">
        <f t="shared" si="38"/>
        <v>0</v>
      </c>
      <c r="AP237" s="149">
        <f t="shared" si="39"/>
        <v>0</v>
      </c>
      <c r="AQ237" s="149">
        <f t="shared" si="40"/>
        <v>0</v>
      </c>
      <c r="AR237" s="157">
        <f t="shared" si="41"/>
        <v>0</v>
      </c>
      <c r="AS237" s="160">
        <f t="shared" si="42"/>
        <v>0</v>
      </c>
      <c r="AT237" s="150">
        <f t="shared" si="43"/>
        <v>0</v>
      </c>
      <c r="AU237" s="150">
        <f t="shared" si="44"/>
        <v>0</v>
      </c>
      <c r="AV237" s="165">
        <f t="shared" si="45"/>
        <v>0</v>
      </c>
      <c r="AW237" s="168">
        <f t="shared" si="46"/>
        <v>0</v>
      </c>
      <c r="AX237" s="149">
        <f t="shared" si="47"/>
        <v>0</v>
      </c>
      <c r="AY237" s="149">
        <f t="shared" si="48"/>
        <v>0</v>
      </c>
      <c r="AZ237" s="157">
        <f t="shared" si="49"/>
        <v>0</v>
      </c>
      <c r="BA237" s="160">
        <f t="shared" si="50"/>
        <v>0</v>
      </c>
      <c r="BB237" s="150">
        <f t="shared" si="51"/>
        <v>0</v>
      </c>
      <c r="BC237" s="150">
        <f t="shared" si="52"/>
        <v>0</v>
      </c>
      <c r="BD237" s="176">
        <f t="shared" si="53"/>
        <v>0</v>
      </c>
      <c r="BE237" s="168">
        <f t="shared" si="54"/>
        <v>0</v>
      </c>
      <c r="BF237" s="149">
        <f t="shared" si="55"/>
        <v>0</v>
      </c>
      <c r="BG237" s="149">
        <f t="shared" si="56"/>
        <v>0</v>
      </c>
      <c r="BH237" s="171">
        <f t="shared" si="57"/>
        <v>0</v>
      </c>
      <c r="BI237" s="160">
        <f t="shared" si="58"/>
        <v>0</v>
      </c>
      <c r="BJ237" s="150">
        <f t="shared" si="59"/>
        <v>0</v>
      </c>
      <c r="BK237" s="150">
        <f t="shared" si="60"/>
        <v>0</v>
      </c>
      <c r="BL237" s="176">
        <f t="shared" si="61"/>
        <v>0</v>
      </c>
      <c r="BM237" s="168">
        <f t="shared" si="62"/>
        <v>0</v>
      </c>
      <c r="BN237" s="149">
        <f t="shared" si="63"/>
        <v>0</v>
      </c>
      <c r="BO237" s="149">
        <f t="shared" si="64"/>
        <v>0</v>
      </c>
      <c r="BP237" s="157">
        <f t="shared" si="65"/>
        <v>0</v>
      </c>
      <c r="BQ237" s="160">
        <f t="shared" si="66"/>
        <v>0</v>
      </c>
      <c r="BR237" s="150">
        <f t="shared" si="67"/>
        <v>0</v>
      </c>
      <c r="BS237" s="150">
        <f t="shared" si="68"/>
        <v>0</v>
      </c>
      <c r="BT237" s="176">
        <f t="shared" si="69"/>
        <v>0</v>
      </c>
      <c r="BU237" s="168">
        <f t="shared" si="70"/>
        <v>0</v>
      </c>
      <c r="BV237" s="149">
        <f t="shared" si="71"/>
        <v>0</v>
      </c>
      <c r="BW237" s="149">
        <f t="shared" si="72"/>
        <v>0</v>
      </c>
      <c r="BX237" s="157">
        <f t="shared" si="73"/>
        <v>0</v>
      </c>
      <c r="BY237" s="160">
        <f t="shared" si="74"/>
        <v>0</v>
      </c>
      <c r="BZ237" s="150">
        <f t="shared" si="75"/>
        <v>0</v>
      </c>
      <c r="CA237" s="150">
        <f t="shared" si="76"/>
        <v>0</v>
      </c>
      <c r="CB237" s="176">
        <f t="shared" si="77"/>
        <v>0</v>
      </c>
      <c r="CC237" s="168">
        <f t="shared" si="78"/>
        <v>0</v>
      </c>
      <c r="CD237" s="149">
        <f t="shared" si="79"/>
        <v>0</v>
      </c>
      <c r="CE237" s="149">
        <f t="shared" si="80"/>
        <v>0</v>
      </c>
      <c r="CF237" s="157">
        <f t="shared" si="81"/>
        <v>0</v>
      </c>
      <c r="CG237" s="160">
        <f t="shared" si="82"/>
        <v>0</v>
      </c>
      <c r="CH237" s="150">
        <f t="shared" si="83"/>
        <v>0</v>
      </c>
      <c r="CI237" s="150">
        <f t="shared" si="84"/>
        <v>0</v>
      </c>
      <c r="CJ237" s="176">
        <f t="shared" si="85"/>
        <v>0</v>
      </c>
      <c r="CK237" s="168">
        <f t="shared" si="86"/>
        <v>0</v>
      </c>
      <c r="CL237" s="149">
        <f t="shared" si="87"/>
        <v>0</v>
      </c>
      <c r="CM237" s="149">
        <f t="shared" si="88"/>
        <v>0</v>
      </c>
      <c r="CN237" s="157">
        <f t="shared" si="89"/>
        <v>0</v>
      </c>
      <c r="CO237" s="160">
        <f t="shared" si="90"/>
        <v>0</v>
      </c>
      <c r="CP237" s="150">
        <f t="shared" si="91"/>
        <v>0</v>
      </c>
      <c r="CQ237" s="150">
        <f t="shared" si="92"/>
        <v>0</v>
      </c>
      <c r="CR237" s="176">
        <f t="shared" si="93"/>
        <v>0</v>
      </c>
      <c r="CS237" s="168">
        <f t="shared" si="94"/>
        <v>0</v>
      </c>
      <c r="CT237" s="149">
        <f t="shared" si="95"/>
        <v>0</v>
      </c>
      <c r="CU237" s="149">
        <f t="shared" si="96"/>
        <v>0</v>
      </c>
      <c r="CV237" s="157">
        <f t="shared" si="97"/>
        <v>0</v>
      </c>
      <c r="CW237" s="160">
        <f t="shared" si="98"/>
        <v>0</v>
      </c>
      <c r="CX237" s="150">
        <f t="shared" si="99"/>
        <v>0</v>
      </c>
      <c r="CY237" s="150">
        <f t="shared" si="100"/>
        <v>0</v>
      </c>
      <c r="CZ237" s="176">
        <f t="shared" si="101"/>
        <v>0</v>
      </c>
      <c r="DA237" s="168">
        <f t="shared" si="102"/>
        <v>0</v>
      </c>
      <c r="DB237" s="149">
        <f t="shared" si="103"/>
        <v>0</v>
      </c>
      <c r="DC237" s="149">
        <f t="shared" si="104"/>
        <v>0</v>
      </c>
      <c r="DD237" s="157">
        <f t="shared" si="105"/>
        <v>0</v>
      </c>
    </row>
    <row r="238" spans="2:108" x14ac:dyDescent="0.2">
      <c r="B238" s="182" t="s">
        <v>292</v>
      </c>
      <c r="C238" s="556">
        <v>3</v>
      </c>
      <c r="D238" s="168">
        <f>'5-Year CIP'!V25</f>
        <v>572000</v>
      </c>
      <c r="E238" s="149">
        <v>0</v>
      </c>
      <c r="F238" s="149">
        <v>0</v>
      </c>
      <c r="G238" s="149">
        <v>0</v>
      </c>
      <c r="H238" s="168">
        <f t="shared" si="106"/>
        <v>597736.2245824394</v>
      </c>
      <c r="I238" s="610">
        <f t="shared" si="107"/>
        <v>0</v>
      </c>
      <c r="J238" s="610">
        <f t="shared" si="108"/>
        <v>0</v>
      </c>
      <c r="K238" s="610">
        <f t="shared" si="109"/>
        <v>597736.2245824394</v>
      </c>
      <c r="L238" s="610">
        <f t="shared" si="110"/>
        <v>0</v>
      </c>
      <c r="M238" s="610">
        <f t="shared" si="111"/>
        <v>0</v>
      </c>
      <c r="N238" s="610">
        <f t="shared" si="112"/>
        <v>0</v>
      </c>
      <c r="O238" s="610">
        <f t="shared" si="113"/>
        <v>0</v>
      </c>
      <c r="P238" s="610">
        <f t="shared" si="114"/>
        <v>0</v>
      </c>
      <c r="Q238" s="610">
        <f t="shared" si="115"/>
        <v>0</v>
      </c>
      <c r="R238" s="610">
        <f t="shared" si="116"/>
        <v>0</v>
      </c>
      <c r="S238" s="610">
        <f t="shared" si="117"/>
        <v>0</v>
      </c>
      <c r="T238" s="610">
        <f t="shared" si="118"/>
        <v>0</v>
      </c>
      <c r="U238" s="610">
        <f t="shared" si="119"/>
        <v>0</v>
      </c>
      <c r="V238" s="610">
        <f t="shared" si="120"/>
        <v>0</v>
      </c>
      <c r="W238" s="610">
        <f t="shared" si="121"/>
        <v>0</v>
      </c>
      <c r="X238" s="610">
        <f t="shared" si="122"/>
        <v>0</v>
      </c>
      <c r="Y238" s="610">
        <f t="shared" si="123"/>
        <v>0</v>
      </c>
      <c r="Z238" s="610">
        <f t="shared" si="124"/>
        <v>0</v>
      </c>
      <c r="AA238" s="610">
        <f t="shared" si="125"/>
        <v>0</v>
      </c>
      <c r="AB238" s="611">
        <f t="shared" si="126"/>
        <v>0</v>
      </c>
      <c r="AC238" s="160">
        <f t="shared" si="26"/>
        <v>0</v>
      </c>
      <c r="AD238" s="150">
        <f t="shared" si="27"/>
        <v>0</v>
      </c>
      <c r="AE238" s="150">
        <f t="shared" si="28"/>
        <v>0</v>
      </c>
      <c r="AF238" s="165">
        <f t="shared" si="29"/>
        <v>0</v>
      </c>
      <c r="AG238" s="168">
        <f t="shared" si="30"/>
        <v>0</v>
      </c>
      <c r="AH238" s="149">
        <f t="shared" si="31"/>
        <v>0</v>
      </c>
      <c r="AI238" s="149">
        <f t="shared" si="32"/>
        <v>0</v>
      </c>
      <c r="AJ238" s="171">
        <f t="shared" si="33"/>
        <v>0</v>
      </c>
      <c r="AK238" s="160">
        <f t="shared" si="34"/>
        <v>625039.84400000004</v>
      </c>
      <c r="AL238" s="150">
        <f t="shared" si="35"/>
        <v>0</v>
      </c>
      <c r="AM238" s="150">
        <f t="shared" si="36"/>
        <v>0</v>
      </c>
      <c r="AN238" s="165">
        <f t="shared" si="37"/>
        <v>0</v>
      </c>
      <c r="AO238" s="168">
        <f t="shared" si="38"/>
        <v>0</v>
      </c>
      <c r="AP238" s="149">
        <f t="shared" si="39"/>
        <v>0</v>
      </c>
      <c r="AQ238" s="149">
        <f t="shared" si="40"/>
        <v>0</v>
      </c>
      <c r="AR238" s="157">
        <f t="shared" si="41"/>
        <v>0</v>
      </c>
      <c r="AS238" s="160">
        <f t="shared" si="42"/>
        <v>0</v>
      </c>
      <c r="AT238" s="150">
        <f t="shared" si="43"/>
        <v>0</v>
      </c>
      <c r="AU238" s="150">
        <f t="shared" si="44"/>
        <v>0</v>
      </c>
      <c r="AV238" s="165">
        <f t="shared" si="45"/>
        <v>0</v>
      </c>
      <c r="AW238" s="168">
        <f t="shared" si="46"/>
        <v>0</v>
      </c>
      <c r="AX238" s="149">
        <f t="shared" si="47"/>
        <v>0</v>
      </c>
      <c r="AY238" s="149">
        <f t="shared" si="48"/>
        <v>0</v>
      </c>
      <c r="AZ238" s="157">
        <f t="shared" si="49"/>
        <v>0</v>
      </c>
      <c r="BA238" s="160">
        <f t="shared" si="50"/>
        <v>0</v>
      </c>
      <c r="BB238" s="150">
        <f t="shared" si="51"/>
        <v>0</v>
      </c>
      <c r="BC238" s="150">
        <f t="shared" si="52"/>
        <v>0</v>
      </c>
      <c r="BD238" s="176">
        <f t="shared" si="53"/>
        <v>0</v>
      </c>
      <c r="BE238" s="168">
        <f t="shared" si="54"/>
        <v>0</v>
      </c>
      <c r="BF238" s="149">
        <f t="shared" si="55"/>
        <v>0</v>
      </c>
      <c r="BG238" s="149">
        <f t="shared" si="56"/>
        <v>0</v>
      </c>
      <c r="BH238" s="171">
        <f t="shared" si="57"/>
        <v>0</v>
      </c>
      <c r="BI238" s="160">
        <f t="shared" si="58"/>
        <v>0</v>
      </c>
      <c r="BJ238" s="150">
        <f t="shared" si="59"/>
        <v>0</v>
      </c>
      <c r="BK238" s="150">
        <f t="shared" si="60"/>
        <v>0</v>
      </c>
      <c r="BL238" s="176">
        <f t="shared" si="61"/>
        <v>0</v>
      </c>
      <c r="BM238" s="168">
        <f t="shared" si="62"/>
        <v>0</v>
      </c>
      <c r="BN238" s="149">
        <f t="shared" si="63"/>
        <v>0</v>
      </c>
      <c r="BO238" s="149">
        <f t="shared" si="64"/>
        <v>0</v>
      </c>
      <c r="BP238" s="157">
        <f t="shared" si="65"/>
        <v>0</v>
      </c>
      <c r="BQ238" s="160">
        <f t="shared" si="66"/>
        <v>0</v>
      </c>
      <c r="BR238" s="150">
        <f t="shared" si="67"/>
        <v>0</v>
      </c>
      <c r="BS238" s="150">
        <f t="shared" si="68"/>
        <v>0</v>
      </c>
      <c r="BT238" s="176">
        <f t="shared" si="69"/>
        <v>0</v>
      </c>
      <c r="BU238" s="168">
        <f t="shared" si="70"/>
        <v>0</v>
      </c>
      <c r="BV238" s="149">
        <f t="shared" si="71"/>
        <v>0</v>
      </c>
      <c r="BW238" s="149">
        <f t="shared" si="72"/>
        <v>0</v>
      </c>
      <c r="BX238" s="157">
        <f t="shared" si="73"/>
        <v>0</v>
      </c>
      <c r="BY238" s="160">
        <f t="shared" si="74"/>
        <v>0</v>
      </c>
      <c r="BZ238" s="150">
        <f t="shared" si="75"/>
        <v>0</v>
      </c>
      <c r="CA238" s="150">
        <f t="shared" si="76"/>
        <v>0</v>
      </c>
      <c r="CB238" s="176">
        <f t="shared" si="77"/>
        <v>0</v>
      </c>
      <c r="CC238" s="168">
        <f t="shared" si="78"/>
        <v>0</v>
      </c>
      <c r="CD238" s="149">
        <f t="shared" si="79"/>
        <v>0</v>
      </c>
      <c r="CE238" s="149">
        <f t="shared" si="80"/>
        <v>0</v>
      </c>
      <c r="CF238" s="157">
        <f t="shared" si="81"/>
        <v>0</v>
      </c>
      <c r="CG238" s="160">
        <f t="shared" si="82"/>
        <v>0</v>
      </c>
      <c r="CH238" s="150">
        <f t="shared" si="83"/>
        <v>0</v>
      </c>
      <c r="CI238" s="150">
        <f t="shared" si="84"/>
        <v>0</v>
      </c>
      <c r="CJ238" s="176">
        <f t="shared" si="85"/>
        <v>0</v>
      </c>
      <c r="CK238" s="168">
        <f t="shared" si="86"/>
        <v>0</v>
      </c>
      <c r="CL238" s="149">
        <f t="shared" si="87"/>
        <v>0</v>
      </c>
      <c r="CM238" s="149">
        <f t="shared" si="88"/>
        <v>0</v>
      </c>
      <c r="CN238" s="157">
        <f t="shared" si="89"/>
        <v>0</v>
      </c>
      <c r="CO238" s="160">
        <f t="shared" si="90"/>
        <v>0</v>
      </c>
      <c r="CP238" s="150">
        <f t="shared" si="91"/>
        <v>0</v>
      </c>
      <c r="CQ238" s="150">
        <f t="shared" si="92"/>
        <v>0</v>
      </c>
      <c r="CR238" s="176">
        <f t="shared" si="93"/>
        <v>0</v>
      </c>
      <c r="CS238" s="168">
        <f t="shared" si="94"/>
        <v>0</v>
      </c>
      <c r="CT238" s="149">
        <f t="shared" si="95"/>
        <v>0</v>
      </c>
      <c r="CU238" s="149">
        <f t="shared" si="96"/>
        <v>0</v>
      </c>
      <c r="CV238" s="157">
        <f t="shared" si="97"/>
        <v>0</v>
      </c>
      <c r="CW238" s="160">
        <f t="shared" si="98"/>
        <v>0</v>
      </c>
      <c r="CX238" s="150">
        <f t="shared" si="99"/>
        <v>0</v>
      </c>
      <c r="CY238" s="150">
        <f t="shared" si="100"/>
        <v>0</v>
      </c>
      <c r="CZ238" s="176">
        <f t="shared" si="101"/>
        <v>0</v>
      </c>
      <c r="DA238" s="168">
        <f t="shared" si="102"/>
        <v>0</v>
      </c>
      <c r="DB238" s="149">
        <f t="shared" si="103"/>
        <v>0</v>
      </c>
      <c r="DC238" s="149">
        <f t="shared" si="104"/>
        <v>0</v>
      </c>
      <c r="DD238" s="157">
        <f t="shared" si="105"/>
        <v>0</v>
      </c>
    </row>
    <row r="239" spans="2:108" x14ac:dyDescent="0.2">
      <c r="B239" s="182" t="s">
        <v>293</v>
      </c>
      <c r="C239" s="556">
        <v>4</v>
      </c>
      <c r="D239" s="168">
        <f>'5-Year CIP'!AA25</f>
        <v>443000</v>
      </c>
      <c r="E239" s="149">
        <v>0</v>
      </c>
      <c r="F239" s="149">
        <v>0</v>
      </c>
      <c r="G239" s="149">
        <v>0</v>
      </c>
      <c r="H239" s="168">
        <f t="shared" si="106"/>
        <v>469773.4367610343</v>
      </c>
      <c r="I239" s="610">
        <f t="shared" si="107"/>
        <v>0</v>
      </c>
      <c r="J239" s="610">
        <f t="shared" si="108"/>
        <v>0</v>
      </c>
      <c r="K239" s="610">
        <f t="shared" si="109"/>
        <v>0</v>
      </c>
      <c r="L239" s="610">
        <f t="shared" si="110"/>
        <v>469773.4367610343</v>
      </c>
      <c r="M239" s="610">
        <f t="shared" si="111"/>
        <v>0</v>
      </c>
      <c r="N239" s="610">
        <f t="shared" si="112"/>
        <v>0</v>
      </c>
      <c r="O239" s="610">
        <f t="shared" si="113"/>
        <v>0</v>
      </c>
      <c r="P239" s="610">
        <f t="shared" si="114"/>
        <v>0</v>
      </c>
      <c r="Q239" s="610">
        <f t="shared" si="115"/>
        <v>0</v>
      </c>
      <c r="R239" s="610">
        <f t="shared" si="116"/>
        <v>0</v>
      </c>
      <c r="S239" s="610">
        <f t="shared" si="117"/>
        <v>0</v>
      </c>
      <c r="T239" s="610">
        <f t="shared" si="118"/>
        <v>0</v>
      </c>
      <c r="U239" s="610">
        <f t="shared" si="119"/>
        <v>0</v>
      </c>
      <c r="V239" s="610">
        <f t="shared" si="120"/>
        <v>0</v>
      </c>
      <c r="W239" s="610">
        <f t="shared" si="121"/>
        <v>0</v>
      </c>
      <c r="X239" s="610">
        <f t="shared" si="122"/>
        <v>0</v>
      </c>
      <c r="Y239" s="610">
        <f t="shared" si="123"/>
        <v>0</v>
      </c>
      <c r="Z239" s="610">
        <f t="shared" si="124"/>
        <v>0</v>
      </c>
      <c r="AA239" s="610">
        <f t="shared" si="125"/>
        <v>0</v>
      </c>
      <c r="AB239" s="611">
        <f t="shared" si="126"/>
        <v>0</v>
      </c>
      <c r="AC239" s="160">
        <f t="shared" si="26"/>
        <v>0</v>
      </c>
      <c r="AD239" s="150">
        <f t="shared" si="27"/>
        <v>0</v>
      </c>
      <c r="AE239" s="150">
        <f t="shared" si="28"/>
        <v>0</v>
      </c>
      <c r="AF239" s="165">
        <f t="shared" si="29"/>
        <v>0</v>
      </c>
      <c r="AG239" s="168">
        <f t="shared" si="30"/>
        <v>0</v>
      </c>
      <c r="AH239" s="149">
        <f t="shared" si="31"/>
        <v>0</v>
      </c>
      <c r="AI239" s="149">
        <f t="shared" si="32"/>
        <v>0</v>
      </c>
      <c r="AJ239" s="171">
        <f t="shared" si="33"/>
        <v>0</v>
      </c>
      <c r="AK239" s="160">
        <f t="shared" si="34"/>
        <v>0</v>
      </c>
      <c r="AL239" s="150">
        <f t="shared" si="35"/>
        <v>0</v>
      </c>
      <c r="AM239" s="150">
        <f t="shared" si="36"/>
        <v>0</v>
      </c>
      <c r="AN239" s="165">
        <f t="shared" si="37"/>
        <v>0</v>
      </c>
      <c r="AO239" s="168">
        <f t="shared" si="38"/>
        <v>498600.40282999998</v>
      </c>
      <c r="AP239" s="149">
        <f t="shared" si="39"/>
        <v>0</v>
      </c>
      <c r="AQ239" s="149">
        <f t="shared" si="40"/>
        <v>0</v>
      </c>
      <c r="AR239" s="157">
        <f t="shared" si="41"/>
        <v>0</v>
      </c>
      <c r="AS239" s="160">
        <f t="shared" si="42"/>
        <v>0</v>
      </c>
      <c r="AT239" s="150">
        <f t="shared" si="43"/>
        <v>0</v>
      </c>
      <c r="AU239" s="150">
        <f t="shared" si="44"/>
        <v>0</v>
      </c>
      <c r="AV239" s="165">
        <f t="shared" si="45"/>
        <v>0</v>
      </c>
      <c r="AW239" s="168">
        <f t="shared" si="46"/>
        <v>0</v>
      </c>
      <c r="AX239" s="149">
        <f t="shared" si="47"/>
        <v>0</v>
      </c>
      <c r="AY239" s="149">
        <f t="shared" si="48"/>
        <v>0</v>
      </c>
      <c r="AZ239" s="157">
        <f t="shared" si="49"/>
        <v>0</v>
      </c>
      <c r="BA239" s="160">
        <f t="shared" si="50"/>
        <v>0</v>
      </c>
      <c r="BB239" s="150">
        <f t="shared" si="51"/>
        <v>0</v>
      </c>
      <c r="BC239" s="150">
        <f t="shared" si="52"/>
        <v>0</v>
      </c>
      <c r="BD239" s="176">
        <f t="shared" si="53"/>
        <v>0</v>
      </c>
      <c r="BE239" s="168">
        <f t="shared" si="54"/>
        <v>0</v>
      </c>
      <c r="BF239" s="149">
        <f t="shared" si="55"/>
        <v>0</v>
      </c>
      <c r="BG239" s="149">
        <f t="shared" si="56"/>
        <v>0</v>
      </c>
      <c r="BH239" s="171">
        <f t="shared" si="57"/>
        <v>0</v>
      </c>
      <c r="BI239" s="160">
        <f t="shared" si="58"/>
        <v>0</v>
      </c>
      <c r="BJ239" s="150">
        <f t="shared" si="59"/>
        <v>0</v>
      </c>
      <c r="BK239" s="150">
        <f t="shared" si="60"/>
        <v>0</v>
      </c>
      <c r="BL239" s="176">
        <f t="shared" si="61"/>
        <v>0</v>
      </c>
      <c r="BM239" s="168">
        <f t="shared" si="62"/>
        <v>0</v>
      </c>
      <c r="BN239" s="149">
        <f t="shared" si="63"/>
        <v>0</v>
      </c>
      <c r="BO239" s="149">
        <f t="shared" si="64"/>
        <v>0</v>
      </c>
      <c r="BP239" s="157">
        <f t="shared" si="65"/>
        <v>0</v>
      </c>
      <c r="BQ239" s="160">
        <f t="shared" si="66"/>
        <v>0</v>
      </c>
      <c r="BR239" s="150">
        <f t="shared" si="67"/>
        <v>0</v>
      </c>
      <c r="BS239" s="150">
        <f t="shared" si="68"/>
        <v>0</v>
      </c>
      <c r="BT239" s="176">
        <f t="shared" si="69"/>
        <v>0</v>
      </c>
      <c r="BU239" s="168">
        <f t="shared" si="70"/>
        <v>0</v>
      </c>
      <c r="BV239" s="149">
        <f t="shared" si="71"/>
        <v>0</v>
      </c>
      <c r="BW239" s="149">
        <f t="shared" si="72"/>
        <v>0</v>
      </c>
      <c r="BX239" s="157">
        <f t="shared" si="73"/>
        <v>0</v>
      </c>
      <c r="BY239" s="160">
        <f t="shared" si="74"/>
        <v>0</v>
      </c>
      <c r="BZ239" s="150">
        <f t="shared" si="75"/>
        <v>0</v>
      </c>
      <c r="CA239" s="150">
        <f t="shared" si="76"/>
        <v>0</v>
      </c>
      <c r="CB239" s="176">
        <f t="shared" si="77"/>
        <v>0</v>
      </c>
      <c r="CC239" s="168">
        <f t="shared" si="78"/>
        <v>0</v>
      </c>
      <c r="CD239" s="149">
        <f t="shared" si="79"/>
        <v>0</v>
      </c>
      <c r="CE239" s="149">
        <f t="shared" si="80"/>
        <v>0</v>
      </c>
      <c r="CF239" s="157">
        <f t="shared" si="81"/>
        <v>0</v>
      </c>
      <c r="CG239" s="160">
        <f t="shared" si="82"/>
        <v>0</v>
      </c>
      <c r="CH239" s="150">
        <f t="shared" si="83"/>
        <v>0</v>
      </c>
      <c r="CI239" s="150">
        <f t="shared" si="84"/>
        <v>0</v>
      </c>
      <c r="CJ239" s="176">
        <f t="shared" si="85"/>
        <v>0</v>
      </c>
      <c r="CK239" s="168">
        <f t="shared" si="86"/>
        <v>0</v>
      </c>
      <c r="CL239" s="149">
        <f t="shared" si="87"/>
        <v>0</v>
      </c>
      <c r="CM239" s="149">
        <f t="shared" si="88"/>
        <v>0</v>
      </c>
      <c r="CN239" s="157">
        <f t="shared" si="89"/>
        <v>0</v>
      </c>
      <c r="CO239" s="160">
        <f t="shared" si="90"/>
        <v>0</v>
      </c>
      <c r="CP239" s="150">
        <f t="shared" si="91"/>
        <v>0</v>
      </c>
      <c r="CQ239" s="150">
        <f t="shared" si="92"/>
        <v>0</v>
      </c>
      <c r="CR239" s="176">
        <f t="shared" si="93"/>
        <v>0</v>
      </c>
      <c r="CS239" s="168">
        <f t="shared" si="94"/>
        <v>0</v>
      </c>
      <c r="CT239" s="149">
        <f t="shared" si="95"/>
        <v>0</v>
      </c>
      <c r="CU239" s="149">
        <f t="shared" si="96"/>
        <v>0</v>
      </c>
      <c r="CV239" s="157">
        <f t="shared" si="97"/>
        <v>0</v>
      </c>
      <c r="CW239" s="160">
        <f t="shared" si="98"/>
        <v>0</v>
      </c>
      <c r="CX239" s="150">
        <f t="shared" si="99"/>
        <v>0</v>
      </c>
      <c r="CY239" s="150">
        <f t="shared" si="100"/>
        <v>0</v>
      </c>
      <c r="CZ239" s="176">
        <f t="shared" si="101"/>
        <v>0</v>
      </c>
      <c r="DA239" s="168">
        <f t="shared" si="102"/>
        <v>0</v>
      </c>
      <c r="DB239" s="149">
        <f t="shared" si="103"/>
        <v>0</v>
      </c>
      <c r="DC239" s="149">
        <f t="shared" si="104"/>
        <v>0</v>
      </c>
      <c r="DD239" s="157">
        <f t="shared" si="105"/>
        <v>0</v>
      </c>
    </row>
    <row r="240" spans="2:108" x14ac:dyDescent="0.2">
      <c r="B240" s="182" t="s">
        <v>294</v>
      </c>
      <c r="C240" s="556">
        <v>5</v>
      </c>
      <c r="D240" s="168">
        <f>'5-Year CIP'!AF25</f>
        <v>248000</v>
      </c>
      <c r="E240" s="149">
        <v>0</v>
      </c>
      <c r="F240" s="149">
        <v>0</v>
      </c>
      <c r="G240" s="149">
        <v>0</v>
      </c>
      <c r="H240" s="168">
        <f t="shared" si="106"/>
        <v>266874.8161021219</v>
      </c>
      <c r="I240" s="610">
        <f t="shared" si="107"/>
        <v>0</v>
      </c>
      <c r="J240" s="610">
        <f t="shared" si="108"/>
        <v>0</v>
      </c>
      <c r="K240" s="610">
        <f t="shared" si="109"/>
        <v>0</v>
      </c>
      <c r="L240" s="610">
        <f t="shared" si="110"/>
        <v>0</v>
      </c>
      <c r="M240" s="610">
        <f t="shared" si="111"/>
        <v>266874.8161021219</v>
      </c>
      <c r="N240" s="610">
        <f t="shared" si="112"/>
        <v>0</v>
      </c>
      <c r="O240" s="610">
        <f t="shared" si="113"/>
        <v>0</v>
      </c>
      <c r="P240" s="610">
        <f t="shared" si="114"/>
        <v>0</v>
      </c>
      <c r="Q240" s="610">
        <f t="shared" si="115"/>
        <v>0</v>
      </c>
      <c r="R240" s="610">
        <f t="shared" si="116"/>
        <v>0</v>
      </c>
      <c r="S240" s="610">
        <f t="shared" si="117"/>
        <v>0</v>
      </c>
      <c r="T240" s="610">
        <f t="shared" si="118"/>
        <v>0</v>
      </c>
      <c r="U240" s="610">
        <f t="shared" si="119"/>
        <v>0</v>
      </c>
      <c r="V240" s="610">
        <f t="shared" si="120"/>
        <v>0</v>
      </c>
      <c r="W240" s="610">
        <f t="shared" si="121"/>
        <v>0</v>
      </c>
      <c r="X240" s="610">
        <f t="shared" si="122"/>
        <v>0</v>
      </c>
      <c r="Y240" s="610">
        <f t="shared" si="123"/>
        <v>0</v>
      </c>
      <c r="Z240" s="610">
        <f t="shared" si="124"/>
        <v>0</v>
      </c>
      <c r="AA240" s="610">
        <f t="shared" si="125"/>
        <v>0</v>
      </c>
      <c r="AB240" s="611">
        <f t="shared" si="126"/>
        <v>0</v>
      </c>
      <c r="AC240" s="160">
        <f t="shared" si="26"/>
        <v>0</v>
      </c>
      <c r="AD240" s="150">
        <f t="shared" si="27"/>
        <v>0</v>
      </c>
      <c r="AE240" s="150">
        <f t="shared" si="28"/>
        <v>0</v>
      </c>
      <c r="AF240" s="165">
        <f t="shared" si="29"/>
        <v>0</v>
      </c>
      <c r="AG240" s="168">
        <f t="shared" si="30"/>
        <v>0</v>
      </c>
      <c r="AH240" s="149">
        <f t="shared" si="31"/>
        <v>0</v>
      </c>
      <c r="AI240" s="149">
        <f t="shared" si="32"/>
        <v>0</v>
      </c>
      <c r="AJ240" s="171">
        <f t="shared" si="33"/>
        <v>0</v>
      </c>
      <c r="AK240" s="160">
        <f t="shared" si="34"/>
        <v>0</v>
      </c>
      <c r="AL240" s="150">
        <f t="shared" si="35"/>
        <v>0</v>
      </c>
      <c r="AM240" s="150">
        <f t="shared" si="36"/>
        <v>0</v>
      </c>
      <c r="AN240" s="165">
        <f t="shared" si="37"/>
        <v>0</v>
      </c>
      <c r="AO240" s="168">
        <f t="shared" si="38"/>
        <v>0</v>
      </c>
      <c r="AP240" s="149">
        <f t="shared" si="39"/>
        <v>0</v>
      </c>
      <c r="AQ240" s="149">
        <f t="shared" si="40"/>
        <v>0</v>
      </c>
      <c r="AR240" s="157">
        <f t="shared" si="41"/>
        <v>0</v>
      </c>
      <c r="AS240" s="160">
        <f t="shared" si="42"/>
        <v>287499.97042639996</v>
      </c>
      <c r="AT240" s="150">
        <f t="shared" si="43"/>
        <v>0</v>
      </c>
      <c r="AU240" s="150">
        <f t="shared" si="44"/>
        <v>0</v>
      </c>
      <c r="AV240" s="165">
        <f t="shared" si="45"/>
        <v>0</v>
      </c>
      <c r="AW240" s="168">
        <f t="shared" si="46"/>
        <v>0</v>
      </c>
      <c r="AX240" s="149">
        <f t="shared" si="47"/>
        <v>0</v>
      </c>
      <c r="AY240" s="149">
        <f t="shared" si="48"/>
        <v>0</v>
      </c>
      <c r="AZ240" s="157">
        <f t="shared" si="49"/>
        <v>0</v>
      </c>
      <c r="BA240" s="160">
        <f t="shared" si="50"/>
        <v>0</v>
      </c>
      <c r="BB240" s="150">
        <f t="shared" si="51"/>
        <v>0</v>
      </c>
      <c r="BC240" s="150">
        <f t="shared" si="52"/>
        <v>0</v>
      </c>
      <c r="BD240" s="176">
        <f t="shared" si="53"/>
        <v>0</v>
      </c>
      <c r="BE240" s="168">
        <f t="shared" si="54"/>
        <v>0</v>
      </c>
      <c r="BF240" s="149">
        <f t="shared" si="55"/>
        <v>0</v>
      </c>
      <c r="BG240" s="149">
        <f t="shared" si="56"/>
        <v>0</v>
      </c>
      <c r="BH240" s="171">
        <f t="shared" si="57"/>
        <v>0</v>
      </c>
      <c r="BI240" s="160">
        <f t="shared" si="58"/>
        <v>0</v>
      </c>
      <c r="BJ240" s="150">
        <f t="shared" si="59"/>
        <v>0</v>
      </c>
      <c r="BK240" s="150">
        <f t="shared" si="60"/>
        <v>0</v>
      </c>
      <c r="BL240" s="176">
        <f t="shared" si="61"/>
        <v>0</v>
      </c>
      <c r="BM240" s="168">
        <f t="shared" si="62"/>
        <v>0</v>
      </c>
      <c r="BN240" s="149">
        <f t="shared" si="63"/>
        <v>0</v>
      </c>
      <c r="BO240" s="149">
        <f t="shared" si="64"/>
        <v>0</v>
      </c>
      <c r="BP240" s="157">
        <f t="shared" si="65"/>
        <v>0</v>
      </c>
      <c r="BQ240" s="160">
        <f t="shared" si="66"/>
        <v>0</v>
      </c>
      <c r="BR240" s="150">
        <f t="shared" si="67"/>
        <v>0</v>
      </c>
      <c r="BS240" s="150">
        <f t="shared" si="68"/>
        <v>0</v>
      </c>
      <c r="BT240" s="176">
        <f t="shared" si="69"/>
        <v>0</v>
      </c>
      <c r="BU240" s="168">
        <f t="shared" si="70"/>
        <v>0</v>
      </c>
      <c r="BV240" s="149">
        <f t="shared" si="71"/>
        <v>0</v>
      </c>
      <c r="BW240" s="149">
        <f t="shared" si="72"/>
        <v>0</v>
      </c>
      <c r="BX240" s="157">
        <f t="shared" si="73"/>
        <v>0</v>
      </c>
      <c r="BY240" s="160">
        <f t="shared" si="74"/>
        <v>0</v>
      </c>
      <c r="BZ240" s="150">
        <f t="shared" si="75"/>
        <v>0</v>
      </c>
      <c r="CA240" s="150">
        <f t="shared" si="76"/>
        <v>0</v>
      </c>
      <c r="CB240" s="176">
        <f t="shared" si="77"/>
        <v>0</v>
      </c>
      <c r="CC240" s="168">
        <f t="shared" si="78"/>
        <v>0</v>
      </c>
      <c r="CD240" s="149">
        <f t="shared" si="79"/>
        <v>0</v>
      </c>
      <c r="CE240" s="149">
        <f t="shared" si="80"/>
        <v>0</v>
      </c>
      <c r="CF240" s="157">
        <f t="shared" si="81"/>
        <v>0</v>
      </c>
      <c r="CG240" s="160">
        <f t="shared" si="82"/>
        <v>0</v>
      </c>
      <c r="CH240" s="150">
        <f t="shared" si="83"/>
        <v>0</v>
      </c>
      <c r="CI240" s="150">
        <f t="shared" si="84"/>
        <v>0</v>
      </c>
      <c r="CJ240" s="176">
        <f t="shared" si="85"/>
        <v>0</v>
      </c>
      <c r="CK240" s="168">
        <f t="shared" si="86"/>
        <v>0</v>
      </c>
      <c r="CL240" s="149">
        <f t="shared" si="87"/>
        <v>0</v>
      </c>
      <c r="CM240" s="149">
        <f t="shared" si="88"/>
        <v>0</v>
      </c>
      <c r="CN240" s="157">
        <f t="shared" si="89"/>
        <v>0</v>
      </c>
      <c r="CO240" s="160">
        <f t="shared" si="90"/>
        <v>0</v>
      </c>
      <c r="CP240" s="150">
        <f t="shared" si="91"/>
        <v>0</v>
      </c>
      <c r="CQ240" s="150">
        <f t="shared" si="92"/>
        <v>0</v>
      </c>
      <c r="CR240" s="176">
        <f t="shared" si="93"/>
        <v>0</v>
      </c>
      <c r="CS240" s="168">
        <f t="shared" si="94"/>
        <v>0</v>
      </c>
      <c r="CT240" s="149">
        <f t="shared" si="95"/>
        <v>0</v>
      </c>
      <c r="CU240" s="149">
        <f t="shared" si="96"/>
        <v>0</v>
      </c>
      <c r="CV240" s="157">
        <f t="shared" si="97"/>
        <v>0</v>
      </c>
      <c r="CW240" s="160">
        <f t="shared" si="98"/>
        <v>0</v>
      </c>
      <c r="CX240" s="150">
        <f t="shared" si="99"/>
        <v>0</v>
      </c>
      <c r="CY240" s="150">
        <f t="shared" si="100"/>
        <v>0</v>
      </c>
      <c r="CZ240" s="176">
        <f t="shared" si="101"/>
        <v>0</v>
      </c>
      <c r="DA240" s="168">
        <f t="shared" si="102"/>
        <v>0</v>
      </c>
      <c r="DB240" s="149">
        <f t="shared" si="103"/>
        <v>0</v>
      </c>
      <c r="DC240" s="149">
        <f t="shared" si="104"/>
        <v>0</v>
      </c>
      <c r="DD240" s="157">
        <f t="shared" si="105"/>
        <v>0</v>
      </c>
    </row>
    <row r="241" spans="2:108" x14ac:dyDescent="0.2">
      <c r="B241" s="182" t="s">
        <v>295</v>
      </c>
      <c r="C241" s="556">
        <v>6</v>
      </c>
      <c r="D241" s="168">
        <f>'5-Year CIP'!AK25</f>
        <v>143000</v>
      </c>
      <c r="E241" s="149">
        <v>0</v>
      </c>
      <c r="F241" s="149">
        <v>0</v>
      </c>
      <c r="G241" s="149">
        <v>0</v>
      </c>
      <c r="H241" s="168">
        <f t="shared" si="106"/>
        <v>156157.60235055437</v>
      </c>
      <c r="I241" s="610">
        <f t="shared" si="107"/>
        <v>0</v>
      </c>
      <c r="J241" s="610">
        <f t="shared" si="108"/>
        <v>0</v>
      </c>
      <c r="K241" s="610">
        <f t="shared" si="109"/>
        <v>0</v>
      </c>
      <c r="L241" s="610">
        <f t="shared" si="110"/>
        <v>0</v>
      </c>
      <c r="M241" s="610">
        <f t="shared" si="111"/>
        <v>0</v>
      </c>
      <c r="N241" s="610">
        <f t="shared" si="112"/>
        <v>156157.60235055437</v>
      </c>
      <c r="O241" s="610">
        <f t="shared" si="113"/>
        <v>0</v>
      </c>
      <c r="P241" s="610">
        <f t="shared" si="114"/>
        <v>0</v>
      </c>
      <c r="Q241" s="610">
        <f t="shared" si="115"/>
        <v>0</v>
      </c>
      <c r="R241" s="610">
        <f t="shared" si="116"/>
        <v>0</v>
      </c>
      <c r="S241" s="610">
        <f t="shared" si="117"/>
        <v>0</v>
      </c>
      <c r="T241" s="610">
        <f t="shared" si="118"/>
        <v>0</v>
      </c>
      <c r="U241" s="610">
        <f t="shared" si="119"/>
        <v>0</v>
      </c>
      <c r="V241" s="610">
        <f t="shared" si="120"/>
        <v>0</v>
      </c>
      <c r="W241" s="610">
        <f t="shared" si="121"/>
        <v>0</v>
      </c>
      <c r="X241" s="610">
        <f t="shared" si="122"/>
        <v>0</v>
      </c>
      <c r="Y241" s="610">
        <f t="shared" si="123"/>
        <v>0</v>
      </c>
      <c r="Z241" s="610">
        <f t="shared" si="124"/>
        <v>0</v>
      </c>
      <c r="AA241" s="610">
        <f t="shared" si="125"/>
        <v>0</v>
      </c>
      <c r="AB241" s="611">
        <f t="shared" si="126"/>
        <v>0</v>
      </c>
      <c r="AC241" s="160">
        <f t="shared" si="26"/>
        <v>0</v>
      </c>
      <c r="AD241" s="150">
        <f t="shared" si="27"/>
        <v>0</v>
      </c>
      <c r="AE241" s="150">
        <f t="shared" si="28"/>
        <v>0</v>
      </c>
      <c r="AF241" s="165">
        <f t="shared" si="29"/>
        <v>0</v>
      </c>
      <c r="AG241" s="168">
        <f t="shared" si="30"/>
        <v>0</v>
      </c>
      <c r="AH241" s="149">
        <f t="shared" si="31"/>
        <v>0</v>
      </c>
      <c r="AI241" s="149">
        <f t="shared" si="32"/>
        <v>0</v>
      </c>
      <c r="AJ241" s="171">
        <f t="shared" si="33"/>
        <v>0</v>
      </c>
      <c r="AK241" s="160">
        <f t="shared" si="34"/>
        <v>0</v>
      </c>
      <c r="AL241" s="150">
        <f t="shared" si="35"/>
        <v>0</v>
      </c>
      <c r="AM241" s="150">
        <f t="shared" si="36"/>
        <v>0</v>
      </c>
      <c r="AN241" s="165">
        <f t="shared" si="37"/>
        <v>0</v>
      </c>
      <c r="AO241" s="168">
        <f t="shared" si="38"/>
        <v>0</v>
      </c>
      <c r="AP241" s="149">
        <f t="shared" si="39"/>
        <v>0</v>
      </c>
      <c r="AQ241" s="149">
        <f t="shared" si="40"/>
        <v>0</v>
      </c>
      <c r="AR241" s="157">
        <f t="shared" si="41"/>
        <v>0</v>
      </c>
      <c r="AS241" s="160">
        <f t="shared" si="42"/>
        <v>0</v>
      </c>
      <c r="AT241" s="150">
        <f t="shared" si="43"/>
        <v>0</v>
      </c>
      <c r="AU241" s="150">
        <f t="shared" si="44"/>
        <v>0</v>
      </c>
      <c r="AV241" s="165">
        <f t="shared" si="45"/>
        <v>0</v>
      </c>
      <c r="AW241" s="168">
        <f t="shared" si="46"/>
        <v>170749.47840364699</v>
      </c>
      <c r="AX241" s="149">
        <f t="shared" si="47"/>
        <v>0</v>
      </c>
      <c r="AY241" s="149">
        <f t="shared" si="48"/>
        <v>0</v>
      </c>
      <c r="AZ241" s="157">
        <f t="shared" si="49"/>
        <v>0</v>
      </c>
      <c r="BA241" s="160">
        <f t="shared" si="50"/>
        <v>0</v>
      </c>
      <c r="BB241" s="150">
        <f t="shared" si="51"/>
        <v>0</v>
      </c>
      <c r="BC241" s="150">
        <f t="shared" si="52"/>
        <v>0</v>
      </c>
      <c r="BD241" s="176">
        <f t="shared" si="53"/>
        <v>0</v>
      </c>
      <c r="BE241" s="168">
        <f t="shared" si="54"/>
        <v>0</v>
      </c>
      <c r="BF241" s="149">
        <f t="shared" si="55"/>
        <v>0</v>
      </c>
      <c r="BG241" s="149">
        <f t="shared" si="56"/>
        <v>0</v>
      </c>
      <c r="BH241" s="171">
        <f t="shared" si="57"/>
        <v>0</v>
      </c>
      <c r="BI241" s="160">
        <f t="shared" si="58"/>
        <v>0</v>
      </c>
      <c r="BJ241" s="150">
        <f t="shared" si="59"/>
        <v>0</v>
      </c>
      <c r="BK241" s="150">
        <f t="shared" si="60"/>
        <v>0</v>
      </c>
      <c r="BL241" s="176">
        <f t="shared" si="61"/>
        <v>0</v>
      </c>
      <c r="BM241" s="168">
        <f t="shared" si="62"/>
        <v>0</v>
      </c>
      <c r="BN241" s="149">
        <f t="shared" si="63"/>
        <v>0</v>
      </c>
      <c r="BO241" s="149">
        <f t="shared" si="64"/>
        <v>0</v>
      </c>
      <c r="BP241" s="157">
        <f t="shared" si="65"/>
        <v>0</v>
      </c>
      <c r="BQ241" s="160">
        <f t="shared" si="66"/>
        <v>0</v>
      </c>
      <c r="BR241" s="150">
        <f t="shared" si="67"/>
        <v>0</v>
      </c>
      <c r="BS241" s="150">
        <f t="shared" si="68"/>
        <v>0</v>
      </c>
      <c r="BT241" s="176">
        <f t="shared" si="69"/>
        <v>0</v>
      </c>
      <c r="BU241" s="168">
        <f t="shared" si="70"/>
        <v>0</v>
      </c>
      <c r="BV241" s="149">
        <f t="shared" si="71"/>
        <v>0</v>
      </c>
      <c r="BW241" s="149">
        <f t="shared" si="72"/>
        <v>0</v>
      </c>
      <c r="BX241" s="157">
        <f t="shared" si="73"/>
        <v>0</v>
      </c>
      <c r="BY241" s="160">
        <f t="shared" si="74"/>
        <v>0</v>
      </c>
      <c r="BZ241" s="150">
        <f t="shared" si="75"/>
        <v>0</v>
      </c>
      <c r="CA241" s="150">
        <f t="shared" si="76"/>
        <v>0</v>
      </c>
      <c r="CB241" s="176">
        <f t="shared" si="77"/>
        <v>0</v>
      </c>
      <c r="CC241" s="168">
        <f t="shared" si="78"/>
        <v>0</v>
      </c>
      <c r="CD241" s="149">
        <f t="shared" si="79"/>
        <v>0</v>
      </c>
      <c r="CE241" s="149">
        <f t="shared" si="80"/>
        <v>0</v>
      </c>
      <c r="CF241" s="157">
        <f t="shared" si="81"/>
        <v>0</v>
      </c>
      <c r="CG241" s="160">
        <f t="shared" si="82"/>
        <v>0</v>
      </c>
      <c r="CH241" s="150">
        <f t="shared" si="83"/>
        <v>0</v>
      </c>
      <c r="CI241" s="150">
        <f t="shared" si="84"/>
        <v>0</v>
      </c>
      <c r="CJ241" s="176">
        <f t="shared" si="85"/>
        <v>0</v>
      </c>
      <c r="CK241" s="168">
        <f t="shared" si="86"/>
        <v>0</v>
      </c>
      <c r="CL241" s="149">
        <f t="shared" si="87"/>
        <v>0</v>
      </c>
      <c r="CM241" s="149">
        <f t="shared" si="88"/>
        <v>0</v>
      </c>
      <c r="CN241" s="157">
        <f t="shared" si="89"/>
        <v>0</v>
      </c>
      <c r="CO241" s="160">
        <f t="shared" si="90"/>
        <v>0</v>
      </c>
      <c r="CP241" s="150">
        <f t="shared" si="91"/>
        <v>0</v>
      </c>
      <c r="CQ241" s="150">
        <f t="shared" si="92"/>
        <v>0</v>
      </c>
      <c r="CR241" s="176">
        <f t="shared" si="93"/>
        <v>0</v>
      </c>
      <c r="CS241" s="168">
        <f t="shared" si="94"/>
        <v>0</v>
      </c>
      <c r="CT241" s="149">
        <f t="shared" si="95"/>
        <v>0</v>
      </c>
      <c r="CU241" s="149">
        <f t="shared" si="96"/>
        <v>0</v>
      </c>
      <c r="CV241" s="157">
        <f t="shared" si="97"/>
        <v>0</v>
      </c>
      <c r="CW241" s="160">
        <f t="shared" si="98"/>
        <v>0</v>
      </c>
      <c r="CX241" s="150">
        <f t="shared" si="99"/>
        <v>0</v>
      </c>
      <c r="CY241" s="150">
        <f t="shared" si="100"/>
        <v>0</v>
      </c>
      <c r="CZ241" s="176">
        <f t="shared" si="101"/>
        <v>0</v>
      </c>
      <c r="DA241" s="168">
        <f t="shared" si="102"/>
        <v>0</v>
      </c>
      <c r="DB241" s="149">
        <f t="shared" si="103"/>
        <v>0</v>
      </c>
      <c r="DC241" s="149">
        <f t="shared" si="104"/>
        <v>0</v>
      </c>
      <c r="DD241" s="157">
        <f t="shared" si="105"/>
        <v>0</v>
      </c>
    </row>
    <row r="242" spans="2:108" x14ac:dyDescent="0.2">
      <c r="B242" s="182" t="s">
        <v>397</v>
      </c>
      <c r="C242" s="556">
        <v>7</v>
      </c>
      <c r="D242" s="168">
        <v>300000</v>
      </c>
      <c r="E242" s="149">
        <v>0</v>
      </c>
      <c r="F242" s="149">
        <v>0</v>
      </c>
      <c r="G242" s="149">
        <v>0</v>
      </c>
      <c r="H242" s="168">
        <f t="shared" si="106"/>
        <v>332444.79056337668</v>
      </c>
      <c r="I242" s="610">
        <f t="shared" si="107"/>
        <v>0</v>
      </c>
      <c r="J242" s="610">
        <f t="shared" si="108"/>
        <v>0</v>
      </c>
      <c r="K242" s="610">
        <f t="shared" si="109"/>
        <v>0</v>
      </c>
      <c r="L242" s="610">
        <f t="shared" si="110"/>
        <v>0</v>
      </c>
      <c r="M242" s="610">
        <f t="shared" si="111"/>
        <v>0</v>
      </c>
      <c r="N242" s="610">
        <f t="shared" si="112"/>
        <v>0</v>
      </c>
      <c r="O242" s="610">
        <f t="shared" si="113"/>
        <v>332444.79056337668</v>
      </c>
      <c r="P242" s="610">
        <f t="shared" si="114"/>
        <v>0</v>
      </c>
      <c r="Q242" s="610">
        <f t="shared" si="115"/>
        <v>0</v>
      </c>
      <c r="R242" s="610">
        <f t="shared" si="116"/>
        <v>0</v>
      </c>
      <c r="S242" s="610">
        <f t="shared" si="117"/>
        <v>0</v>
      </c>
      <c r="T242" s="610">
        <f t="shared" si="118"/>
        <v>0</v>
      </c>
      <c r="U242" s="610">
        <f t="shared" si="119"/>
        <v>0</v>
      </c>
      <c r="V242" s="610">
        <f t="shared" si="120"/>
        <v>0</v>
      </c>
      <c r="W242" s="610">
        <f t="shared" si="121"/>
        <v>0</v>
      </c>
      <c r="X242" s="610">
        <f t="shared" si="122"/>
        <v>0</v>
      </c>
      <c r="Y242" s="610">
        <f t="shared" si="123"/>
        <v>0</v>
      </c>
      <c r="Z242" s="610">
        <f t="shared" si="124"/>
        <v>0</v>
      </c>
      <c r="AA242" s="610">
        <f t="shared" si="125"/>
        <v>0</v>
      </c>
      <c r="AB242" s="611">
        <f t="shared" si="126"/>
        <v>0</v>
      </c>
      <c r="AC242" s="160">
        <f t="shared" si="26"/>
        <v>0</v>
      </c>
      <c r="AD242" s="150">
        <f t="shared" si="27"/>
        <v>0</v>
      </c>
      <c r="AE242" s="150">
        <f t="shared" si="28"/>
        <v>0</v>
      </c>
      <c r="AF242" s="165">
        <f t="shared" si="29"/>
        <v>0</v>
      </c>
      <c r="AG242" s="168">
        <f t="shared" si="30"/>
        <v>0</v>
      </c>
      <c r="AH242" s="149">
        <f t="shared" si="31"/>
        <v>0</v>
      </c>
      <c r="AI242" s="149">
        <f t="shared" si="32"/>
        <v>0</v>
      </c>
      <c r="AJ242" s="171">
        <f t="shared" si="33"/>
        <v>0</v>
      </c>
      <c r="AK242" s="160">
        <f t="shared" si="34"/>
        <v>0</v>
      </c>
      <c r="AL242" s="150">
        <f t="shared" si="35"/>
        <v>0</v>
      </c>
      <c r="AM242" s="150">
        <f t="shared" si="36"/>
        <v>0</v>
      </c>
      <c r="AN242" s="165">
        <f t="shared" si="37"/>
        <v>0</v>
      </c>
      <c r="AO242" s="168">
        <f t="shared" si="38"/>
        <v>0</v>
      </c>
      <c r="AP242" s="149">
        <f t="shared" si="39"/>
        <v>0</v>
      </c>
      <c r="AQ242" s="149">
        <f t="shared" si="40"/>
        <v>0</v>
      </c>
      <c r="AR242" s="157">
        <f t="shared" si="41"/>
        <v>0</v>
      </c>
      <c r="AS242" s="160">
        <f t="shared" si="42"/>
        <v>0</v>
      </c>
      <c r="AT242" s="150">
        <f t="shared" si="43"/>
        <v>0</v>
      </c>
      <c r="AU242" s="150">
        <f t="shared" si="44"/>
        <v>0</v>
      </c>
      <c r="AV242" s="165">
        <f t="shared" si="45"/>
        <v>0</v>
      </c>
      <c r="AW242" s="168">
        <f t="shared" si="46"/>
        <v>0</v>
      </c>
      <c r="AX242" s="149">
        <f t="shared" si="47"/>
        <v>0</v>
      </c>
      <c r="AY242" s="149">
        <f t="shared" si="48"/>
        <v>0</v>
      </c>
      <c r="AZ242" s="157">
        <f t="shared" si="49"/>
        <v>0</v>
      </c>
      <c r="BA242" s="160">
        <f t="shared" si="50"/>
        <v>368962.15962746099</v>
      </c>
      <c r="BB242" s="150">
        <f t="shared" si="51"/>
        <v>0</v>
      </c>
      <c r="BC242" s="150">
        <f t="shared" si="52"/>
        <v>0</v>
      </c>
      <c r="BD242" s="176">
        <f t="shared" si="53"/>
        <v>0</v>
      </c>
      <c r="BE242" s="168">
        <f t="shared" si="54"/>
        <v>0</v>
      </c>
      <c r="BF242" s="149">
        <f t="shared" si="55"/>
        <v>0</v>
      </c>
      <c r="BG242" s="149">
        <f t="shared" si="56"/>
        <v>0</v>
      </c>
      <c r="BH242" s="171">
        <f t="shared" si="57"/>
        <v>0</v>
      </c>
      <c r="BI242" s="160">
        <f t="shared" si="58"/>
        <v>0</v>
      </c>
      <c r="BJ242" s="150">
        <f t="shared" si="59"/>
        <v>0</v>
      </c>
      <c r="BK242" s="150">
        <f t="shared" si="60"/>
        <v>0</v>
      </c>
      <c r="BL242" s="176">
        <f t="shared" si="61"/>
        <v>0</v>
      </c>
      <c r="BM242" s="168">
        <f t="shared" si="62"/>
        <v>0</v>
      </c>
      <c r="BN242" s="149">
        <f t="shared" si="63"/>
        <v>0</v>
      </c>
      <c r="BO242" s="149">
        <f t="shared" si="64"/>
        <v>0</v>
      </c>
      <c r="BP242" s="157">
        <f t="shared" si="65"/>
        <v>0</v>
      </c>
      <c r="BQ242" s="160">
        <f t="shared" si="66"/>
        <v>0</v>
      </c>
      <c r="BR242" s="150">
        <f t="shared" si="67"/>
        <v>0</v>
      </c>
      <c r="BS242" s="150">
        <f t="shared" si="68"/>
        <v>0</v>
      </c>
      <c r="BT242" s="176">
        <f t="shared" si="69"/>
        <v>0</v>
      </c>
      <c r="BU242" s="168">
        <f t="shared" si="70"/>
        <v>0</v>
      </c>
      <c r="BV242" s="149">
        <f t="shared" si="71"/>
        <v>0</v>
      </c>
      <c r="BW242" s="149">
        <f t="shared" si="72"/>
        <v>0</v>
      </c>
      <c r="BX242" s="157">
        <f t="shared" si="73"/>
        <v>0</v>
      </c>
      <c r="BY242" s="160">
        <f t="shared" si="74"/>
        <v>0</v>
      </c>
      <c r="BZ242" s="150">
        <f t="shared" si="75"/>
        <v>0</v>
      </c>
      <c r="CA242" s="150">
        <f t="shared" si="76"/>
        <v>0</v>
      </c>
      <c r="CB242" s="176">
        <f t="shared" si="77"/>
        <v>0</v>
      </c>
      <c r="CC242" s="168">
        <f t="shared" si="78"/>
        <v>0</v>
      </c>
      <c r="CD242" s="149">
        <f t="shared" si="79"/>
        <v>0</v>
      </c>
      <c r="CE242" s="149">
        <f t="shared" si="80"/>
        <v>0</v>
      </c>
      <c r="CF242" s="157">
        <f t="shared" si="81"/>
        <v>0</v>
      </c>
      <c r="CG242" s="160">
        <f t="shared" si="82"/>
        <v>0</v>
      </c>
      <c r="CH242" s="150">
        <f t="shared" si="83"/>
        <v>0</v>
      </c>
      <c r="CI242" s="150">
        <f t="shared" si="84"/>
        <v>0</v>
      </c>
      <c r="CJ242" s="176">
        <f t="shared" si="85"/>
        <v>0</v>
      </c>
      <c r="CK242" s="168">
        <f t="shared" si="86"/>
        <v>0</v>
      </c>
      <c r="CL242" s="149">
        <f t="shared" si="87"/>
        <v>0</v>
      </c>
      <c r="CM242" s="149">
        <f t="shared" si="88"/>
        <v>0</v>
      </c>
      <c r="CN242" s="157">
        <f t="shared" si="89"/>
        <v>0</v>
      </c>
      <c r="CO242" s="160">
        <f t="shared" si="90"/>
        <v>0</v>
      </c>
      <c r="CP242" s="150">
        <f t="shared" si="91"/>
        <v>0</v>
      </c>
      <c r="CQ242" s="150">
        <f t="shared" si="92"/>
        <v>0</v>
      </c>
      <c r="CR242" s="176">
        <f t="shared" si="93"/>
        <v>0</v>
      </c>
      <c r="CS242" s="168">
        <f t="shared" si="94"/>
        <v>0</v>
      </c>
      <c r="CT242" s="149">
        <f t="shared" si="95"/>
        <v>0</v>
      </c>
      <c r="CU242" s="149">
        <f t="shared" si="96"/>
        <v>0</v>
      </c>
      <c r="CV242" s="157">
        <f t="shared" si="97"/>
        <v>0</v>
      </c>
      <c r="CW242" s="160">
        <f t="shared" si="98"/>
        <v>0</v>
      </c>
      <c r="CX242" s="150">
        <f t="shared" si="99"/>
        <v>0</v>
      </c>
      <c r="CY242" s="150">
        <f t="shared" si="100"/>
        <v>0</v>
      </c>
      <c r="CZ242" s="176">
        <f t="shared" si="101"/>
        <v>0</v>
      </c>
      <c r="DA242" s="168">
        <f t="shared" si="102"/>
        <v>0</v>
      </c>
      <c r="DB242" s="149">
        <f t="shared" si="103"/>
        <v>0</v>
      </c>
      <c r="DC242" s="149">
        <f t="shared" si="104"/>
        <v>0</v>
      </c>
      <c r="DD242" s="157">
        <f t="shared" si="105"/>
        <v>0</v>
      </c>
    </row>
    <row r="243" spans="2:108" x14ac:dyDescent="0.2">
      <c r="B243" s="182" t="s">
        <v>398</v>
      </c>
      <c r="C243" s="556">
        <v>8</v>
      </c>
      <c r="D243" s="168">
        <v>300000</v>
      </c>
      <c r="E243" s="149">
        <v>0</v>
      </c>
      <c r="F243" s="149">
        <v>0</v>
      </c>
      <c r="G243" s="149">
        <v>0</v>
      </c>
      <c r="H243" s="168">
        <f t="shared" si="106"/>
        <v>337357.76776382065</v>
      </c>
      <c r="I243" s="610">
        <f t="shared" si="107"/>
        <v>0</v>
      </c>
      <c r="J243" s="610">
        <f t="shared" si="108"/>
        <v>0</v>
      </c>
      <c r="K243" s="610">
        <f t="shared" si="109"/>
        <v>0</v>
      </c>
      <c r="L243" s="610">
        <f t="shared" si="110"/>
        <v>0</v>
      </c>
      <c r="M243" s="610">
        <f t="shared" si="111"/>
        <v>0</v>
      </c>
      <c r="N243" s="610">
        <f t="shared" si="112"/>
        <v>0</v>
      </c>
      <c r="O243" s="610">
        <f t="shared" si="113"/>
        <v>0</v>
      </c>
      <c r="P243" s="610">
        <f t="shared" si="114"/>
        <v>337357.76776382065</v>
      </c>
      <c r="Q243" s="610">
        <f t="shared" si="115"/>
        <v>0</v>
      </c>
      <c r="R243" s="610">
        <f t="shared" si="116"/>
        <v>0</v>
      </c>
      <c r="S243" s="610">
        <f t="shared" si="117"/>
        <v>0</v>
      </c>
      <c r="T243" s="610">
        <f t="shared" si="118"/>
        <v>0</v>
      </c>
      <c r="U243" s="610">
        <f t="shared" si="119"/>
        <v>0</v>
      </c>
      <c r="V243" s="610">
        <f t="shared" si="120"/>
        <v>0</v>
      </c>
      <c r="W243" s="610">
        <f t="shared" si="121"/>
        <v>0</v>
      </c>
      <c r="X243" s="610">
        <f t="shared" si="122"/>
        <v>0</v>
      </c>
      <c r="Y243" s="610">
        <f t="shared" si="123"/>
        <v>0</v>
      </c>
      <c r="Z243" s="610">
        <f t="shared" si="124"/>
        <v>0</v>
      </c>
      <c r="AA243" s="610">
        <f t="shared" si="125"/>
        <v>0</v>
      </c>
      <c r="AB243" s="611">
        <f t="shared" si="126"/>
        <v>0</v>
      </c>
      <c r="AC243" s="160">
        <f t="shared" si="26"/>
        <v>0</v>
      </c>
      <c r="AD243" s="150">
        <f t="shared" si="27"/>
        <v>0</v>
      </c>
      <c r="AE243" s="150">
        <f t="shared" si="28"/>
        <v>0</v>
      </c>
      <c r="AF243" s="165">
        <f t="shared" si="29"/>
        <v>0</v>
      </c>
      <c r="AG243" s="168">
        <f t="shared" si="30"/>
        <v>0</v>
      </c>
      <c r="AH243" s="149">
        <f t="shared" si="31"/>
        <v>0</v>
      </c>
      <c r="AI243" s="149">
        <f t="shared" si="32"/>
        <v>0</v>
      </c>
      <c r="AJ243" s="171">
        <f t="shared" si="33"/>
        <v>0</v>
      </c>
      <c r="AK243" s="160">
        <f t="shared" si="34"/>
        <v>0</v>
      </c>
      <c r="AL243" s="150">
        <f t="shared" si="35"/>
        <v>0</v>
      </c>
      <c r="AM243" s="150">
        <f t="shared" si="36"/>
        <v>0</v>
      </c>
      <c r="AN243" s="165">
        <f t="shared" si="37"/>
        <v>0</v>
      </c>
      <c r="AO243" s="168">
        <f t="shared" si="38"/>
        <v>0</v>
      </c>
      <c r="AP243" s="149">
        <f t="shared" si="39"/>
        <v>0</v>
      </c>
      <c r="AQ243" s="149">
        <f t="shared" si="40"/>
        <v>0</v>
      </c>
      <c r="AR243" s="157">
        <f t="shared" si="41"/>
        <v>0</v>
      </c>
      <c r="AS243" s="160">
        <f t="shared" si="42"/>
        <v>0</v>
      </c>
      <c r="AT243" s="150">
        <f t="shared" si="43"/>
        <v>0</v>
      </c>
      <c r="AU243" s="150">
        <f t="shared" si="44"/>
        <v>0</v>
      </c>
      <c r="AV243" s="165">
        <f t="shared" si="45"/>
        <v>0</v>
      </c>
      <c r="AW243" s="168">
        <f t="shared" si="46"/>
        <v>0</v>
      </c>
      <c r="AX243" s="149">
        <f t="shared" si="47"/>
        <v>0</v>
      </c>
      <c r="AY243" s="149">
        <f t="shared" si="48"/>
        <v>0</v>
      </c>
      <c r="AZ243" s="157">
        <f t="shared" si="49"/>
        <v>0</v>
      </c>
      <c r="BA243" s="160">
        <f t="shared" si="50"/>
        <v>0</v>
      </c>
      <c r="BB243" s="150">
        <f t="shared" si="51"/>
        <v>0</v>
      </c>
      <c r="BC243" s="150">
        <f t="shared" si="52"/>
        <v>0</v>
      </c>
      <c r="BD243" s="176">
        <f t="shared" si="53"/>
        <v>0</v>
      </c>
      <c r="BE243" s="168">
        <f t="shared" si="54"/>
        <v>380031.02441628475</v>
      </c>
      <c r="BF243" s="149">
        <f t="shared" si="55"/>
        <v>0</v>
      </c>
      <c r="BG243" s="149">
        <f t="shared" si="56"/>
        <v>0</v>
      </c>
      <c r="BH243" s="171">
        <f t="shared" si="57"/>
        <v>0</v>
      </c>
      <c r="BI243" s="160">
        <f t="shared" si="58"/>
        <v>0</v>
      </c>
      <c r="BJ243" s="150">
        <f t="shared" si="59"/>
        <v>0</v>
      </c>
      <c r="BK243" s="150">
        <f t="shared" si="60"/>
        <v>0</v>
      </c>
      <c r="BL243" s="176">
        <f t="shared" si="61"/>
        <v>0</v>
      </c>
      <c r="BM243" s="168">
        <f t="shared" si="62"/>
        <v>0</v>
      </c>
      <c r="BN243" s="149">
        <f t="shared" si="63"/>
        <v>0</v>
      </c>
      <c r="BO243" s="149">
        <f t="shared" si="64"/>
        <v>0</v>
      </c>
      <c r="BP243" s="157">
        <f t="shared" si="65"/>
        <v>0</v>
      </c>
      <c r="BQ243" s="160">
        <f t="shared" si="66"/>
        <v>0</v>
      </c>
      <c r="BR243" s="150">
        <f t="shared" si="67"/>
        <v>0</v>
      </c>
      <c r="BS243" s="150">
        <f t="shared" si="68"/>
        <v>0</v>
      </c>
      <c r="BT243" s="176">
        <f t="shared" si="69"/>
        <v>0</v>
      </c>
      <c r="BU243" s="168">
        <f t="shared" si="70"/>
        <v>0</v>
      </c>
      <c r="BV243" s="149">
        <f t="shared" si="71"/>
        <v>0</v>
      </c>
      <c r="BW243" s="149">
        <f t="shared" si="72"/>
        <v>0</v>
      </c>
      <c r="BX243" s="157">
        <f t="shared" si="73"/>
        <v>0</v>
      </c>
      <c r="BY243" s="160">
        <f t="shared" si="74"/>
        <v>0</v>
      </c>
      <c r="BZ243" s="150">
        <f t="shared" si="75"/>
        <v>0</v>
      </c>
      <c r="CA243" s="150">
        <f t="shared" si="76"/>
        <v>0</v>
      </c>
      <c r="CB243" s="176">
        <f t="shared" si="77"/>
        <v>0</v>
      </c>
      <c r="CC243" s="168">
        <f t="shared" si="78"/>
        <v>0</v>
      </c>
      <c r="CD243" s="149">
        <f t="shared" si="79"/>
        <v>0</v>
      </c>
      <c r="CE243" s="149">
        <f t="shared" si="80"/>
        <v>0</v>
      </c>
      <c r="CF243" s="157">
        <f t="shared" si="81"/>
        <v>0</v>
      </c>
      <c r="CG243" s="160">
        <f t="shared" si="82"/>
        <v>0</v>
      </c>
      <c r="CH243" s="150">
        <f t="shared" si="83"/>
        <v>0</v>
      </c>
      <c r="CI243" s="150">
        <f t="shared" si="84"/>
        <v>0</v>
      </c>
      <c r="CJ243" s="176">
        <f t="shared" si="85"/>
        <v>0</v>
      </c>
      <c r="CK243" s="168">
        <f t="shared" si="86"/>
        <v>0</v>
      </c>
      <c r="CL243" s="149">
        <f t="shared" si="87"/>
        <v>0</v>
      </c>
      <c r="CM243" s="149">
        <f t="shared" si="88"/>
        <v>0</v>
      </c>
      <c r="CN243" s="157">
        <f t="shared" si="89"/>
        <v>0</v>
      </c>
      <c r="CO243" s="160">
        <f t="shared" si="90"/>
        <v>0</v>
      </c>
      <c r="CP243" s="150">
        <f t="shared" si="91"/>
        <v>0</v>
      </c>
      <c r="CQ243" s="150">
        <f t="shared" si="92"/>
        <v>0</v>
      </c>
      <c r="CR243" s="176">
        <f t="shared" si="93"/>
        <v>0</v>
      </c>
      <c r="CS243" s="168">
        <f t="shared" si="94"/>
        <v>0</v>
      </c>
      <c r="CT243" s="149">
        <f t="shared" si="95"/>
        <v>0</v>
      </c>
      <c r="CU243" s="149">
        <f t="shared" si="96"/>
        <v>0</v>
      </c>
      <c r="CV243" s="157">
        <f t="shared" si="97"/>
        <v>0</v>
      </c>
      <c r="CW243" s="160">
        <f t="shared" si="98"/>
        <v>0</v>
      </c>
      <c r="CX243" s="150">
        <f t="shared" si="99"/>
        <v>0</v>
      </c>
      <c r="CY243" s="150">
        <f t="shared" si="100"/>
        <v>0</v>
      </c>
      <c r="CZ243" s="176">
        <f t="shared" si="101"/>
        <v>0</v>
      </c>
      <c r="DA243" s="168">
        <f t="shared" si="102"/>
        <v>0</v>
      </c>
      <c r="DB243" s="149">
        <f t="shared" si="103"/>
        <v>0</v>
      </c>
      <c r="DC243" s="149">
        <f t="shared" si="104"/>
        <v>0</v>
      </c>
      <c r="DD243" s="157">
        <f t="shared" si="105"/>
        <v>0</v>
      </c>
    </row>
    <row r="244" spans="2:108" x14ac:dyDescent="0.2">
      <c r="B244" s="182" t="s">
        <v>399</v>
      </c>
      <c r="C244" s="556">
        <v>9</v>
      </c>
      <c r="D244" s="168">
        <v>300000</v>
      </c>
      <c r="E244" s="149">
        <v>0</v>
      </c>
      <c r="F244" s="149">
        <v>0</v>
      </c>
      <c r="G244" s="149">
        <v>0</v>
      </c>
      <c r="H244" s="168">
        <f t="shared" ref="H244:H245" si="127">SUM(I244:AB244)</f>
        <v>342343.35053865548</v>
      </c>
      <c r="I244" s="610">
        <f t="shared" ref="I244:I245" si="128">-PV(InterestRate,I$8,,(SUM(AC244:AF244)))</f>
        <v>0</v>
      </c>
      <c r="J244" s="610">
        <f t="shared" ref="J244:J245" si="129">-PV(InterestRate,J$8,,(SUM(AG244:AJ244)))</f>
        <v>0</v>
      </c>
      <c r="K244" s="610">
        <f t="shared" ref="K244:K245" si="130">-PV(InterestRate,K$8,,(SUM(AK244:AN244)))</f>
        <v>0</v>
      </c>
      <c r="L244" s="610">
        <f t="shared" ref="L244:L245" si="131">-PV(InterestRate,L$8,,(SUM(AO244:AR244)))</f>
        <v>0</v>
      </c>
      <c r="M244" s="610">
        <f t="shared" ref="M244:M245" si="132">-PV(InterestRate,M$8,,(SUM(AS244:AV244)))</f>
        <v>0</v>
      </c>
      <c r="N244" s="610">
        <f t="shared" ref="N244:N245" si="133">-PV(InterestRate,N$8,,(SUM(AW244:AZ244)))</f>
        <v>0</v>
      </c>
      <c r="O244" s="610">
        <f t="shared" ref="O244:O245" si="134">-PV(InterestRate,O$8,,(SUM(BA244:BD244)))</f>
        <v>0</v>
      </c>
      <c r="P244" s="610">
        <f t="shared" ref="P244:P245" si="135">-PV(InterestRate,P$8,,(SUM(BE244:BH244)))</f>
        <v>0</v>
      </c>
      <c r="Q244" s="610">
        <f t="shared" ref="Q244:Q245" si="136">-PV(InterestRate,Q$8,,(SUM(BI244:BL244)))</f>
        <v>342343.35053865548</v>
      </c>
      <c r="R244" s="610">
        <f t="shared" ref="R244:R245" si="137">-PV(InterestRate,R$8,,(SUM(BM244:BP244)))</f>
        <v>0</v>
      </c>
      <c r="S244" s="610">
        <f t="shared" ref="S244:S245" si="138">-PV(InterestRate,S$8,,(SUM(BQ244:BT244)))</f>
        <v>0</v>
      </c>
      <c r="T244" s="610">
        <f t="shared" ref="T244:T245" si="139">-PV(InterestRate,T$8,,(SUM(BU244:BX244)))</f>
        <v>0</v>
      </c>
      <c r="U244" s="610">
        <f t="shared" ref="U244:U245" si="140">-PV(InterestRate,U$8,,(SUM(BY244:CB244)))</f>
        <v>0</v>
      </c>
      <c r="V244" s="610">
        <f t="shared" ref="V244:V245" si="141">-PV(InterestRate,V$8,,(SUM(CC244:CF244)))</f>
        <v>0</v>
      </c>
      <c r="W244" s="610">
        <f t="shared" ref="W244:W245" si="142">-PV(InterestRate,W$8,,(SUM(CG244:CJ244)))</f>
        <v>0</v>
      </c>
      <c r="X244" s="610">
        <f t="shared" ref="X244:X245" si="143">-PV(InterestRate,X$8,,(SUM(CK244:CN244)))</f>
        <v>0</v>
      </c>
      <c r="Y244" s="610">
        <f t="shared" ref="Y244:Y245" si="144">-PV(InterestRate,Y$8,,(SUM(CO244:CR244)))</f>
        <v>0</v>
      </c>
      <c r="Z244" s="610">
        <f t="shared" ref="Z244:Z245" si="145">-PV(InterestRate,Z$8,,(SUM(CS244:CV244)))</f>
        <v>0</v>
      </c>
      <c r="AA244" s="610">
        <f t="shared" ref="AA244:AA245" si="146">-PV(InterestRate,AA$8,,(SUM(CW244:CZ244)))</f>
        <v>0</v>
      </c>
      <c r="AB244" s="611">
        <f t="shared" ref="AB244:AB245" si="147">-PV(InterestRate,AB$8,,(SUM(DA244:DD244)))</f>
        <v>0</v>
      </c>
      <c r="AC244" s="160">
        <f t="shared" si="26"/>
        <v>0</v>
      </c>
      <c r="AD244" s="150">
        <f t="shared" si="27"/>
        <v>0</v>
      </c>
      <c r="AE244" s="150">
        <f t="shared" si="28"/>
        <v>0</v>
      </c>
      <c r="AF244" s="165">
        <f t="shared" si="29"/>
        <v>0</v>
      </c>
      <c r="AG244" s="168">
        <f t="shared" si="30"/>
        <v>0</v>
      </c>
      <c r="AH244" s="149">
        <f t="shared" si="31"/>
        <v>0</v>
      </c>
      <c r="AI244" s="149">
        <f t="shared" si="32"/>
        <v>0</v>
      </c>
      <c r="AJ244" s="171">
        <f t="shared" si="33"/>
        <v>0</v>
      </c>
      <c r="AK244" s="160">
        <f t="shared" si="34"/>
        <v>0</v>
      </c>
      <c r="AL244" s="150">
        <f t="shared" si="35"/>
        <v>0</v>
      </c>
      <c r="AM244" s="150">
        <f t="shared" si="36"/>
        <v>0</v>
      </c>
      <c r="AN244" s="165">
        <f t="shared" si="37"/>
        <v>0</v>
      </c>
      <c r="AO244" s="168">
        <f t="shared" si="38"/>
        <v>0</v>
      </c>
      <c r="AP244" s="149">
        <f t="shared" si="39"/>
        <v>0</v>
      </c>
      <c r="AQ244" s="149">
        <f t="shared" si="40"/>
        <v>0</v>
      </c>
      <c r="AR244" s="157">
        <f t="shared" si="41"/>
        <v>0</v>
      </c>
      <c r="AS244" s="160">
        <f t="shared" si="42"/>
        <v>0</v>
      </c>
      <c r="AT244" s="150">
        <f t="shared" si="43"/>
        <v>0</v>
      </c>
      <c r="AU244" s="150">
        <f t="shared" si="44"/>
        <v>0</v>
      </c>
      <c r="AV244" s="165">
        <f t="shared" si="45"/>
        <v>0</v>
      </c>
      <c r="AW244" s="168">
        <f t="shared" si="46"/>
        <v>0</v>
      </c>
      <c r="AX244" s="149">
        <f t="shared" si="47"/>
        <v>0</v>
      </c>
      <c r="AY244" s="149">
        <f t="shared" si="48"/>
        <v>0</v>
      </c>
      <c r="AZ244" s="157">
        <f t="shared" si="49"/>
        <v>0</v>
      </c>
      <c r="BA244" s="160">
        <f t="shared" si="50"/>
        <v>0</v>
      </c>
      <c r="BB244" s="150">
        <f t="shared" si="51"/>
        <v>0</v>
      </c>
      <c r="BC244" s="150">
        <f t="shared" si="52"/>
        <v>0</v>
      </c>
      <c r="BD244" s="176">
        <f t="shared" si="53"/>
        <v>0</v>
      </c>
      <c r="BE244" s="168">
        <f t="shared" si="54"/>
        <v>0</v>
      </c>
      <c r="BF244" s="149">
        <f t="shared" si="55"/>
        <v>0</v>
      </c>
      <c r="BG244" s="149">
        <f t="shared" si="56"/>
        <v>0</v>
      </c>
      <c r="BH244" s="171">
        <f t="shared" si="57"/>
        <v>0</v>
      </c>
      <c r="BI244" s="160">
        <f t="shared" si="58"/>
        <v>391431.95514877333</v>
      </c>
      <c r="BJ244" s="150">
        <f t="shared" si="59"/>
        <v>0</v>
      </c>
      <c r="BK244" s="150">
        <f t="shared" si="60"/>
        <v>0</v>
      </c>
      <c r="BL244" s="176">
        <f t="shared" si="61"/>
        <v>0</v>
      </c>
      <c r="BM244" s="168">
        <f t="shared" si="62"/>
        <v>0</v>
      </c>
      <c r="BN244" s="149">
        <f t="shared" si="63"/>
        <v>0</v>
      </c>
      <c r="BO244" s="149">
        <f t="shared" si="64"/>
        <v>0</v>
      </c>
      <c r="BP244" s="157">
        <f t="shared" si="65"/>
        <v>0</v>
      </c>
      <c r="BQ244" s="160">
        <f t="shared" si="66"/>
        <v>0</v>
      </c>
      <c r="BR244" s="150">
        <f t="shared" si="67"/>
        <v>0</v>
      </c>
      <c r="BS244" s="150">
        <f t="shared" si="68"/>
        <v>0</v>
      </c>
      <c r="BT244" s="176">
        <f t="shared" si="69"/>
        <v>0</v>
      </c>
      <c r="BU244" s="168">
        <f t="shared" si="70"/>
        <v>0</v>
      </c>
      <c r="BV244" s="149">
        <f t="shared" si="71"/>
        <v>0</v>
      </c>
      <c r="BW244" s="149">
        <f t="shared" si="72"/>
        <v>0</v>
      </c>
      <c r="BX244" s="157">
        <f t="shared" si="73"/>
        <v>0</v>
      </c>
      <c r="BY244" s="160">
        <f t="shared" si="74"/>
        <v>0</v>
      </c>
      <c r="BZ244" s="150">
        <f t="shared" si="75"/>
        <v>0</v>
      </c>
      <c r="CA244" s="150">
        <f t="shared" si="76"/>
        <v>0</v>
      </c>
      <c r="CB244" s="176">
        <f t="shared" si="77"/>
        <v>0</v>
      </c>
      <c r="CC244" s="168">
        <f t="shared" si="78"/>
        <v>0</v>
      </c>
      <c r="CD244" s="149">
        <f t="shared" si="79"/>
        <v>0</v>
      </c>
      <c r="CE244" s="149">
        <f t="shared" si="80"/>
        <v>0</v>
      </c>
      <c r="CF244" s="157">
        <f t="shared" si="81"/>
        <v>0</v>
      </c>
      <c r="CG244" s="160">
        <f t="shared" si="82"/>
        <v>0</v>
      </c>
      <c r="CH244" s="150">
        <f t="shared" si="83"/>
        <v>0</v>
      </c>
      <c r="CI244" s="150">
        <f t="shared" si="84"/>
        <v>0</v>
      </c>
      <c r="CJ244" s="176">
        <f t="shared" si="85"/>
        <v>0</v>
      </c>
      <c r="CK244" s="168">
        <f t="shared" si="86"/>
        <v>0</v>
      </c>
      <c r="CL244" s="149">
        <f t="shared" si="87"/>
        <v>0</v>
      </c>
      <c r="CM244" s="149">
        <f t="shared" si="88"/>
        <v>0</v>
      </c>
      <c r="CN244" s="157">
        <f t="shared" si="89"/>
        <v>0</v>
      </c>
      <c r="CO244" s="160">
        <f t="shared" si="90"/>
        <v>0</v>
      </c>
      <c r="CP244" s="150">
        <f t="shared" si="91"/>
        <v>0</v>
      </c>
      <c r="CQ244" s="150">
        <f t="shared" si="92"/>
        <v>0</v>
      </c>
      <c r="CR244" s="176">
        <f t="shared" si="93"/>
        <v>0</v>
      </c>
      <c r="CS244" s="168">
        <f t="shared" si="94"/>
        <v>0</v>
      </c>
      <c r="CT244" s="149">
        <f t="shared" si="95"/>
        <v>0</v>
      </c>
      <c r="CU244" s="149">
        <f t="shared" si="96"/>
        <v>0</v>
      </c>
      <c r="CV244" s="157">
        <f t="shared" si="97"/>
        <v>0</v>
      </c>
      <c r="CW244" s="160">
        <f t="shared" si="98"/>
        <v>0</v>
      </c>
      <c r="CX244" s="150">
        <f t="shared" si="99"/>
        <v>0</v>
      </c>
      <c r="CY244" s="150">
        <f t="shared" si="100"/>
        <v>0</v>
      </c>
      <c r="CZ244" s="176">
        <f t="shared" si="101"/>
        <v>0</v>
      </c>
      <c r="DA244" s="168">
        <f t="shared" si="102"/>
        <v>0</v>
      </c>
      <c r="DB244" s="149">
        <f t="shared" si="103"/>
        <v>0</v>
      </c>
      <c r="DC244" s="149">
        <f t="shared" si="104"/>
        <v>0</v>
      </c>
      <c r="DD244" s="157">
        <f t="shared" si="105"/>
        <v>0</v>
      </c>
    </row>
    <row r="245" spans="2:108" x14ac:dyDescent="0.2">
      <c r="B245" s="182" t="s">
        <v>400</v>
      </c>
      <c r="C245" s="556">
        <v>10</v>
      </c>
      <c r="D245" s="168">
        <v>300000</v>
      </c>
      <c r="E245" s="149">
        <v>0</v>
      </c>
      <c r="F245" s="149">
        <v>0</v>
      </c>
      <c r="G245" s="149">
        <v>0</v>
      </c>
      <c r="H245" s="168">
        <f t="shared" si="127"/>
        <v>347402.61187666527</v>
      </c>
      <c r="I245" s="610">
        <f t="shared" si="128"/>
        <v>0</v>
      </c>
      <c r="J245" s="610">
        <f t="shared" si="129"/>
        <v>0</v>
      </c>
      <c r="K245" s="610">
        <f t="shared" si="130"/>
        <v>0</v>
      </c>
      <c r="L245" s="610">
        <f t="shared" si="131"/>
        <v>0</v>
      </c>
      <c r="M245" s="610">
        <f t="shared" si="132"/>
        <v>0</v>
      </c>
      <c r="N245" s="610">
        <f t="shared" si="133"/>
        <v>0</v>
      </c>
      <c r="O245" s="610">
        <f t="shared" si="134"/>
        <v>0</v>
      </c>
      <c r="P245" s="610">
        <f t="shared" si="135"/>
        <v>0</v>
      </c>
      <c r="Q245" s="610">
        <f t="shared" si="136"/>
        <v>0</v>
      </c>
      <c r="R245" s="610">
        <f t="shared" si="137"/>
        <v>347402.61187666527</v>
      </c>
      <c r="S245" s="610">
        <f t="shared" si="138"/>
        <v>0</v>
      </c>
      <c r="T245" s="610">
        <f t="shared" si="139"/>
        <v>0</v>
      </c>
      <c r="U245" s="610">
        <f t="shared" si="140"/>
        <v>0</v>
      </c>
      <c r="V245" s="610">
        <f t="shared" si="141"/>
        <v>0</v>
      </c>
      <c r="W245" s="610">
        <f t="shared" si="142"/>
        <v>0</v>
      </c>
      <c r="X245" s="610">
        <f t="shared" si="143"/>
        <v>0</v>
      </c>
      <c r="Y245" s="610">
        <f t="shared" si="144"/>
        <v>0</v>
      </c>
      <c r="Z245" s="610">
        <f t="shared" si="145"/>
        <v>0</v>
      </c>
      <c r="AA245" s="610">
        <f t="shared" si="146"/>
        <v>0</v>
      </c>
      <c r="AB245" s="611">
        <f t="shared" si="147"/>
        <v>0</v>
      </c>
      <c r="AC245" s="160">
        <f t="shared" si="26"/>
        <v>0</v>
      </c>
      <c r="AD245" s="150">
        <f t="shared" si="27"/>
        <v>0</v>
      </c>
      <c r="AE245" s="150">
        <f t="shared" si="28"/>
        <v>0</v>
      </c>
      <c r="AF245" s="165">
        <f t="shared" si="29"/>
        <v>0</v>
      </c>
      <c r="AG245" s="168">
        <f t="shared" si="30"/>
        <v>0</v>
      </c>
      <c r="AH245" s="149">
        <f t="shared" si="31"/>
        <v>0</v>
      </c>
      <c r="AI245" s="149">
        <f t="shared" si="32"/>
        <v>0</v>
      </c>
      <c r="AJ245" s="171">
        <f t="shared" si="33"/>
        <v>0</v>
      </c>
      <c r="AK245" s="160">
        <f t="shared" si="34"/>
        <v>0</v>
      </c>
      <c r="AL245" s="150">
        <f t="shared" si="35"/>
        <v>0</v>
      </c>
      <c r="AM245" s="150">
        <f t="shared" si="36"/>
        <v>0</v>
      </c>
      <c r="AN245" s="165">
        <f t="shared" si="37"/>
        <v>0</v>
      </c>
      <c r="AO245" s="168">
        <f t="shared" si="38"/>
        <v>0</v>
      </c>
      <c r="AP245" s="149">
        <f t="shared" si="39"/>
        <v>0</v>
      </c>
      <c r="AQ245" s="149">
        <f t="shared" si="40"/>
        <v>0</v>
      </c>
      <c r="AR245" s="157">
        <f t="shared" si="41"/>
        <v>0</v>
      </c>
      <c r="AS245" s="160">
        <f t="shared" si="42"/>
        <v>0</v>
      </c>
      <c r="AT245" s="150">
        <f t="shared" si="43"/>
        <v>0</v>
      </c>
      <c r="AU245" s="150">
        <f t="shared" si="44"/>
        <v>0</v>
      </c>
      <c r="AV245" s="165">
        <f t="shared" si="45"/>
        <v>0</v>
      </c>
      <c r="AW245" s="168">
        <f t="shared" si="46"/>
        <v>0</v>
      </c>
      <c r="AX245" s="149">
        <f t="shared" si="47"/>
        <v>0</v>
      </c>
      <c r="AY245" s="149">
        <f t="shared" si="48"/>
        <v>0</v>
      </c>
      <c r="AZ245" s="157">
        <f t="shared" si="49"/>
        <v>0</v>
      </c>
      <c r="BA245" s="160">
        <f t="shared" si="50"/>
        <v>0</v>
      </c>
      <c r="BB245" s="150">
        <f t="shared" si="51"/>
        <v>0</v>
      </c>
      <c r="BC245" s="150">
        <f t="shared" si="52"/>
        <v>0</v>
      </c>
      <c r="BD245" s="176">
        <f t="shared" si="53"/>
        <v>0</v>
      </c>
      <c r="BE245" s="168">
        <f t="shared" si="54"/>
        <v>0</v>
      </c>
      <c r="BF245" s="149">
        <f t="shared" si="55"/>
        <v>0</v>
      </c>
      <c r="BG245" s="149">
        <f t="shared" si="56"/>
        <v>0</v>
      </c>
      <c r="BH245" s="171">
        <f t="shared" si="57"/>
        <v>0</v>
      </c>
      <c r="BI245" s="160">
        <f t="shared" si="58"/>
        <v>0</v>
      </c>
      <c r="BJ245" s="150">
        <f t="shared" si="59"/>
        <v>0</v>
      </c>
      <c r="BK245" s="150">
        <f t="shared" si="60"/>
        <v>0</v>
      </c>
      <c r="BL245" s="176">
        <f t="shared" si="61"/>
        <v>0</v>
      </c>
      <c r="BM245" s="168">
        <f t="shared" si="62"/>
        <v>403174.91380323656</v>
      </c>
      <c r="BN245" s="149">
        <f t="shared" si="63"/>
        <v>0</v>
      </c>
      <c r="BO245" s="149">
        <f t="shared" si="64"/>
        <v>0</v>
      </c>
      <c r="BP245" s="157">
        <f t="shared" si="65"/>
        <v>0</v>
      </c>
      <c r="BQ245" s="160">
        <f t="shared" si="66"/>
        <v>0</v>
      </c>
      <c r="BR245" s="150">
        <f t="shared" si="67"/>
        <v>0</v>
      </c>
      <c r="BS245" s="150">
        <f t="shared" si="68"/>
        <v>0</v>
      </c>
      <c r="BT245" s="176">
        <f t="shared" si="69"/>
        <v>0</v>
      </c>
      <c r="BU245" s="168">
        <f t="shared" si="70"/>
        <v>0</v>
      </c>
      <c r="BV245" s="149">
        <f t="shared" si="71"/>
        <v>0</v>
      </c>
      <c r="BW245" s="149">
        <f t="shared" si="72"/>
        <v>0</v>
      </c>
      <c r="BX245" s="157">
        <f t="shared" si="73"/>
        <v>0</v>
      </c>
      <c r="BY245" s="160">
        <f t="shared" si="74"/>
        <v>0</v>
      </c>
      <c r="BZ245" s="150">
        <f t="shared" si="75"/>
        <v>0</v>
      </c>
      <c r="CA245" s="150">
        <f t="shared" si="76"/>
        <v>0</v>
      </c>
      <c r="CB245" s="176">
        <f t="shared" si="77"/>
        <v>0</v>
      </c>
      <c r="CC245" s="168">
        <f t="shared" si="78"/>
        <v>0</v>
      </c>
      <c r="CD245" s="149">
        <f t="shared" si="79"/>
        <v>0</v>
      </c>
      <c r="CE245" s="149">
        <f t="shared" si="80"/>
        <v>0</v>
      </c>
      <c r="CF245" s="157">
        <f t="shared" si="81"/>
        <v>0</v>
      </c>
      <c r="CG245" s="160">
        <f t="shared" si="82"/>
        <v>0</v>
      </c>
      <c r="CH245" s="150">
        <f t="shared" si="83"/>
        <v>0</v>
      </c>
      <c r="CI245" s="150">
        <f t="shared" si="84"/>
        <v>0</v>
      </c>
      <c r="CJ245" s="176">
        <f t="shared" si="85"/>
        <v>0</v>
      </c>
      <c r="CK245" s="168">
        <f t="shared" si="86"/>
        <v>0</v>
      </c>
      <c r="CL245" s="149">
        <f t="shared" si="87"/>
        <v>0</v>
      </c>
      <c r="CM245" s="149">
        <f t="shared" si="88"/>
        <v>0</v>
      </c>
      <c r="CN245" s="157">
        <f t="shared" si="89"/>
        <v>0</v>
      </c>
      <c r="CO245" s="160">
        <f t="shared" si="90"/>
        <v>0</v>
      </c>
      <c r="CP245" s="150">
        <f t="shared" si="91"/>
        <v>0</v>
      </c>
      <c r="CQ245" s="150">
        <f t="shared" si="92"/>
        <v>0</v>
      </c>
      <c r="CR245" s="176">
        <f t="shared" si="93"/>
        <v>0</v>
      </c>
      <c r="CS245" s="168">
        <f t="shared" si="94"/>
        <v>0</v>
      </c>
      <c r="CT245" s="149">
        <f t="shared" si="95"/>
        <v>0</v>
      </c>
      <c r="CU245" s="149">
        <f t="shared" si="96"/>
        <v>0</v>
      </c>
      <c r="CV245" s="157">
        <f t="shared" si="97"/>
        <v>0</v>
      </c>
      <c r="CW245" s="160">
        <f t="shared" si="98"/>
        <v>0</v>
      </c>
      <c r="CX245" s="150">
        <f t="shared" si="99"/>
        <v>0</v>
      </c>
      <c r="CY245" s="150">
        <f t="shared" si="100"/>
        <v>0</v>
      </c>
      <c r="CZ245" s="176">
        <f t="shared" si="101"/>
        <v>0</v>
      </c>
      <c r="DA245" s="168">
        <f t="shared" si="102"/>
        <v>0</v>
      </c>
      <c r="DB245" s="149">
        <f t="shared" si="103"/>
        <v>0</v>
      </c>
      <c r="DC245" s="149">
        <f t="shared" si="104"/>
        <v>0</v>
      </c>
      <c r="DD245" s="157">
        <f t="shared" si="105"/>
        <v>0</v>
      </c>
    </row>
    <row r="246" spans="2:108" x14ac:dyDescent="0.2">
      <c r="B246" s="182" t="s">
        <v>401</v>
      </c>
      <c r="C246" s="556">
        <v>11</v>
      </c>
      <c r="D246" s="168">
        <v>300000</v>
      </c>
      <c r="E246" s="149">
        <v>0</v>
      </c>
      <c r="F246" s="149">
        <v>0</v>
      </c>
      <c r="G246" s="149">
        <v>0</v>
      </c>
      <c r="H246" s="168">
        <f t="shared" ref="H246:H255" si="148">SUM(I246:AB246)</f>
        <v>352536.64062361105</v>
      </c>
      <c r="I246" s="610">
        <f t="shared" ref="I246:I255" si="149">-PV(InterestRate,I$8,,(SUM(AC246:AF246)))</f>
        <v>0</v>
      </c>
      <c r="J246" s="610">
        <f t="shared" ref="J246:J255" si="150">-PV(InterestRate,J$8,,(SUM(AG246:AJ246)))</f>
        <v>0</v>
      </c>
      <c r="K246" s="610">
        <f t="shared" ref="K246:K255" si="151">-PV(InterestRate,K$8,,(SUM(AK246:AN246)))</f>
        <v>0</v>
      </c>
      <c r="L246" s="610">
        <f t="shared" ref="L246:L255" si="152">-PV(InterestRate,L$8,,(SUM(AO246:AR246)))</f>
        <v>0</v>
      </c>
      <c r="M246" s="610">
        <f t="shared" ref="M246:M255" si="153">-PV(InterestRate,M$8,,(SUM(AS246:AV246)))</f>
        <v>0</v>
      </c>
      <c r="N246" s="610">
        <f t="shared" ref="N246:N255" si="154">-PV(InterestRate,N$8,,(SUM(AW246:AZ246)))</f>
        <v>0</v>
      </c>
      <c r="O246" s="610">
        <f t="shared" ref="O246:O255" si="155">-PV(InterestRate,O$8,,(SUM(BA246:BD246)))</f>
        <v>0</v>
      </c>
      <c r="P246" s="610">
        <f t="shared" ref="P246:P255" si="156">-PV(InterestRate,P$8,,(SUM(BE246:BH246)))</f>
        <v>0</v>
      </c>
      <c r="Q246" s="610">
        <f t="shared" ref="Q246:Q255" si="157">-PV(InterestRate,Q$8,,(SUM(BI246:BL246)))</f>
        <v>0</v>
      </c>
      <c r="R246" s="610">
        <f t="shared" ref="R246:R255" si="158">-PV(InterestRate,R$8,,(SUM(BM246:BP246)))</f>
        <v>0</v>
      </c>
      <c r="S246" s="610">
        <f t="shared" ref="S246:S255" si="159">-PV(InterestRate,S$8,,(SUM(BQ246:BT246)))</f>
        <v>352536.64062361105</v>
      </c>
      <c r="T246" s="610">
        <f t="shared" ref="T246:T255" si="160">-PV(InterestRate,T$8,,(SUM(BU246:BX246)))</f>
        <v>0</v>
      </c>
      <c r="U246" s="610">
        <f t="shared" ref="U246:U255" si="161">-PV(InterestRate,U$8,,(SUM(BY246:CB246)))</f>
        <v>0</v>
      </c>
      <c r="V246" s="610">
        <f t="shared" ref="V246:V255" si="162">-PV(InterestRate,V$8,,(SUM(CC246:CF246)))</f>
        <v>0</v>
      </c>
      <c r="W246" s="610">
        <f t="shared" ref="W246:W255" si="163">-PV(InterestRate,W$8,,(SUM(CG246:CJ246)))</f>
        <v>0</v>
      </c>
      <c r="X246" s="610">
        <f t="shared" ref="X246:X255" si="164">-PV(InterestRate,X$8,,(SUM(CK246:CN246)))</f>
        <v>0</v>
      </c>
      <c r="Y246" s="610">
        <f t="shared" ref="Y246:Y255" si="165">-PV(InterestRate,Y$8,,(SUM(CO246:CR246)))</f>
        <v>0</v>
      </c>
      <c r="Z246" s="610">
        <f t="shared" ref="Z246:Z255" si="166">-PV(InterestRate,Z$8,,(SUM(CS246:CV246)))</f>
        <v>0</v>
      </c>
      <c r="AA246" s="610">
        <f t="shared" ref="AA246:AA255" si="167">-PV(InterestRate,AA$8,,(SUM(CW246:CZ246)))</f>
        <v>0</v>
      </c>
      <c r="AB246" s="611">
        <f t="shared" ref="AB246:AB255" si="168">-PV(InterestRate,AB$8,,(SUM(DA246:DD246)))</f>
        <v>0</v>
      </c>
      <c r="AC246" s="160">
        <f t="shared" si="26"/>
        <v>0</v>
      </c>
      <c r="AD246" s="150">
        <f t="shared" si="27"/>
        <v>0</v>
      </c>
      <c r="AE246" s="150">
        <f t="shared" si="28"/>
        <v>0</v>
      </c>
      <c r="AF246" s="165">
        <f t="shared" si="29"/>
        <v>0</v>
      </c>
      <c r="AG246" s="168">
        <f t="shared" si="30"/>
        <v>0</v>
      </c>
      <c r="AH246" s="149">
        <f t="shared" si="31"/>
        <v>0</v>
      </c>
      <c r="AI246" s="149">
        <f t="shared" si="32"/>
        <v>0</v>
      </c>
      <c r="AJ246" s="171">
        <f t="shared" si="33"/>
        <v>0</v>
      </c>
      <c r="AK246" s="160">
        <f t="shared" si="34"/>
        <v>0</v>
      </c>
      <c r="AL246" s="150">
        <f t="shared" si="35"/>
        <v>0</v>
      </c>
      <c r="AM246" s="150">
        <f t="shared" si="36"/>
        <v>0</v>
      </c>
      <c r="AN246" s="165">
        <f t="shared" si="37"/>
        <v>0</v>
      </c>
      <c r="AO246" s="168">
        <f t="shared" si="38"/>
        <v>0</v>
      </c>
      <c r="AP246" s="149">
        <f t="shared" si="39"/>
        <v>0</v>
      </c>
      <c r="AQ246" s="149">
        <f t="shared" si="40"/>
        <v>0</v>
      </c>
      <c r="AR246" s="157">
        <f t="shared" si="41"/>
        <v>0</v>
      </c>
      <c r="AS246" s="160">
        <f t="shared" si="42"/>
        <v>0</v>
      </c>
      <c r="AT246" s="150">
        <f t="shared" si="43"/>
        <v>0</v>
      </c>
      <c r="AU246" s="150">
        <f t="shared" si="44"/>
        <v>0</v>
      </c>
      <c r="AV246" s="165">
        <f t="shared" si="45"/>
        <v>0</v>
      </c>
      <c r="AW246" s="168">
        <f t="shared" si="46"/>
        <v>0</v>
      </c>
      <c r="AX246" s="149">
        <f t="shared" si="47"/>
        <v>0</v>
      </c>
      <c r="AY246" s="149">
        <f t="shared" si="48"/>
        <v>0</v>
      </c>
      <c r="AZ246" s="157">
        <f t="shared" si="49"/>
        <v>0</v>
      </c>
      <c r="BA246" s="160">
        <f t="shared" si="50"/>
        <v>0</v>
      </c>
      <c r="BB246" s="150">
        <f t="shared" si="51"/>
        <v>0</v>
      </c>
      <c r="BC246" s="150">
        <f t="shared" si="52"/>
        <v>0</v>
      </c>
      <c r="BD246" s="176">
        <f t="shared" si="53"/>
        <v>0</v>
      </c>
      <c r="BE246" s="168">
        <f t="shared" si="54"/>
        <v>0</v>
      </c>
      <c r="BF246" s="149">
        <f t="shared" si="55"/>
        <v>0</v>
      </c>
      <c r="BG246" s="149">
        <f t="shared" si="56"/>
        <v>0</v>
      </c>
      <c r="BH246" s="171">
        <f t="shared" si="57"/>
        <v>0</v>
      </c>
      <c r="BI246" s="160">
        <f t="shared" si="58"/>
        <v>0</v>
      </c>
      <c r="BJ246" s="150">
        <f t="shared" si="59"/>
        <v>0</v>
      </c>
      <c r="BK246" s="150">
        <f t="shared" si="60"/>
        <v>0</v>
      </c>
      <c r="BL246" s="176">
        <f t="shared" si="61"/>
        <v>0</v>
      </c>
      <c r="BM246" s="168">
        <f t="shared" si="62"/>
        <v>0</v>
      </c>
      <c r="BN246" s="149">
        <f t="shared" si="63"/>
        <v>0</v>
      </c>
      <c r="BO246" s="149">
        <f t="shared" si="64"/>
        <v>0</v>
      </c>
      <c r="BP246" s="157">
        <f t="shared" si="65"/>
        <v>0</v>
      </c>
      <c r="BQ246" s="160">
        <f t="shared" si="66"/>
        <v>415270.16121733363</v>
      </c>
      <c r="BR246" s="150">
        <f t="shared" si="67"/>
        <v>0</v>
      </c>
      <c r="BS246" s="150">
        <f t="shared" si="68"/>
        <v>0</v>
      </c>
      <c r="BT246" s="176">
        <f t="shared" si="69"/>
        <v>0</v>
      </c>
      <c r="BU246" s="168">
        <f t="shared" si="70"/>
        <v>0</v>
      </c>
      <c r="BV246" s="149">
        <f t="shared" si="71"/>
        <v>0</v>
      </c>
      <c r="BW246" s="149">
        <f t="shared" si="72"/>
        <v>0</v>
      </c>
      <c r="BX246" s="157">
        <f t="shared" si="73"/>
        <v>0</v>
      </c>
      <c r="BY246" s="160">
        <f t="shared" si="74"/>
        <v>0</v>
      </c>
      <c r="BZ246" s="150">
        <f t="shared" si="75"/>
        <v>0</v>
      </c>
      <c r="CA246" s="150">
        <f t="shared" si="76"/>
        <v>0</v>
      </c>
      <c r="CB246" s="176">
        <f t="shared" si="77"/>
        <v>0</v>
      </c>
      <c r="CC246" s="168">
        <f t="shared" si="78"/>
        <v>0</v>
      </c>
      <c r="CD246" s="149">
        <f t="shared" si="79"/>
        <v>0</v>
      </c>
      <c r="CE246" s="149">
        <f t="shared" si="80"/>
        <v>0</v>
      </c>
      <c r="CF246" s="157">
        <f t="shared" si="81"/>
        <v>0</v>
      </c>
      <c r="CG246" s="160">
        <f t="shared" si="82"/>
        <v>0</v>
      </c>
      <c r="CH246" s="150">
        <f t="shared" si="83"/>
        <v>0</v>
      </c>
      <c r="CI246" s="150">
        <f t="shared" si="84"/>
        <v>0</v>
      </c>
      <c r="CJ246" s="176">
        <f t="shared" si="85"/>
        <v>0</v>
      </c>
      <c r="CK246" s="168">
        <f t="shared" si="86"/>
        <v>0</v>
      </c>
      <c r="CL246" s="149">
        <f t="shared" si="87"/>
        <v>0</v>
      </c>
      <c r="CM246" s="149">
        <f t="shared" si="88"/>
        <v>0</v>
      </c>
      <c r="CN246" s="157">
        <f t="shared" si="89"/>
        <v>0</v>
      </c>
      <c r="CO246" s="160">
        <f t="shared" si="90"/>
        <v>0</v>
      </c>
      <c r="CP246" s="150">
        <f t="shared" si="91"/>
        <v>0</v>
      </c>
      <c r="CQ246" s="150">
        <f t="shared" si="92"/>
        <v>0</v>
      </c>
      <c r="CR246" s="176">
        <f t="shared" si="93"/>
        <v>0</v>
      </c>
      <c r="CS246" s="168">
        <f t="shared" si="94"/>
        <v>0</v>
      </c>
      <c r="CT246" s="149">
        <f t="shared" si="95"/>
        <v>0</v>
      </c>
      <c r="CU246" s="149">
        <f t="shared" si="96"/>
        <v>0</v>
      </c>
      <c r="CV246" s="157">
        <f t="shared" si="97"/>
        <v>0</v>
      </c>
      <c r="CW246" s="160">
        <f t="shared" si="98"/>
        <v>0</v>
      </c>
      <c r="CX246" s="150">
        <f t="shared" si="99"/>
        <v>0</v>
      </c>
      <c r="CY246" s="150">
        <f t="shared" si="100"/>
        <v>0</v>
      </c>
      <c r="CZ246" s="176">
        <f t="shared" si="101"/>
        <v>0</v>
      </c>
      <c r="DA246" s="168">
        <f t="shared" si="102"/>
        <v>0</v>
      </c>
      <c r="DB246" s="149">
        <f t="shared" si="103"/>
        <v>0</v>
      </c>
      <c r="DC246" s="149">
        <f t="shared" si="104"/>
        <v>0</v>
      </c>
      <c r="DD246" s="157">
        <f t="shared" si="105"/>
        <v>0</v>
      </c>
    </row>
    <row r="247" spans="2:108" x14ac:dyDescent="0.2">
      <c r="B247" s="182" t="s">
        <v>402</v>
      </c>
      <c r="C247" s="556">
        <v>12</v>
      </c>
      <c r="D247" s="168">
        <v>300000</v>
      </c>
      <c r="E247" s="149">
        <v>0</v>
      </c>
      <c r="F247" s="149">
        <v>0</v>
      </c>
      <c r="G247" s="149">
        <v>0</v>
      </c>
      <c r="H247" s="168">
        <f t="shared" si="148"/>
        <v>357746.54171657091</v>
      </c>
      <c r="I247" s="610">
        <f t="shared" si="149"/>
        <v>0</v>
      </c>
      <c r="J247" s="610">
        <f t="shared" si="150"/>
        <v>0</v>
      </c>
      <c r="K247" s="610">
        <f t="shared" si="151"/>
        <v>0</v>
      </c>
      <c r="L247" s="610">
        <f t="shared" si="152"/>
        <v>0</v>
      </c>
      <c r="M247" s="610">
        <f t="shared" si="153"/>
        <v>0</v>
      </c>
      <c r="N247" s="610">
        <f t="shared" si="154"/>
        <v>0</v>
      </c>
      <c r="O247" s="610">
        <f t="shared" si="155"/>
        <v>0</v>
      </c>
      <c r="P247" s="610">
        <f t="shared" si="156"/>
        <v>0</v>
      </c>
      <c r="Q247" s="610">
        <f t="shared" si="157"/>
        <v>0</v>
      </c>
      <c r="R247" s="610">
        <f t="shared" si="158"/>
        <v>0</v>
      </c>
      <c r="S247" s="610">
        <f t="shared" si="159"/>
        <v>0</v>
      </c>
      <c r="T247" s="610">
        <f t="shared" si="160"/>
        <v>357746.54171657091</v>
      </c>
      <c r="U247" s="610">
        <f t="shared" si="161"/>
        <v>0</v>
      </c>
      <c r="V247" s="610">
        <f t="shared" si="162"/>
        <v>0</v>
      </c>
      <c r="W247" s="610">
        <f t="shared" si="163"/>
        <v>0</v>
      </c>
      <c r="X247" s="610">
        <f t="shared" si="164"/>
        <v>0</v>
      </c>
      <c r="Y247" s="610">
        <f t="shared" si="165"/>
        <v>0</v>
      </c>
      <c r="Z247" s="610">
        <f t="shared" si="166"/>
        <v>0</v>
      </c>
      <c r="AA247" s="610">
        <f t="shared" si="167"/>
        <v>0</v>
      </c>
      <c r="AB247" s="611">
        <f t="shared" si="168"/>
        <v>0</v>
      </c>
      <c r="AC247" s="160">
        <f t="shared" si="26"/>
        <v>0</v>
      </c>
      <c r="AD247" s="150">
        <f t="shared" si="27"/>
        <v>0</v>
      </c>
      <c r="AE247" s="150">
        <f t="shared" si="28"/>
        <v>0</v>
      </c>
      <c r="AF247" s="165">
        <f t="shared" si="29"/>
        <v>0</v>
      </c>
      <c r="AG247" s="168">
        <f t="shared" si="30"/>
        <v>0</v>
      </c>
      <c r="AH247" s="149">
        <f t="shared" si="31"/>
        <v>0</v>
      </c>
      <c r="AI247" s="149">
        <f t="shared" si="32"/>
        <v>0</v>
      </c>
      <c r="AJ247" s="171">
        <f t="shared" si="33"/>
        <v>0</v>
      </c>
      <c r="AK247" s="160">
        <f t="shared" si="34"/>
        <v>0</v>
      </c>
      <c r="AL247" s="150">
        <f t="shared" si="35"/>
        <v>0</v>
      </c>
      <c r="AM247" s="150">
        <f t="shared" si="36"/>
        <v>0</v>
      </c>
      <c r="AN247" s="165">
        <f t="shared" si="37"/>
        <v>0</v>
      </c>
      <c r="AO247" s="168">
        <f t="shared" si="38"/>
        <v>0</v>
      </c>
      <c r="AP247" s="149">
        <f t="shared" si="39"/>
        <v>0</v>
      </c>
      <c r="AQ247" s="149">
        <f t="shared" si="40"/>
        <v>0</v>
      </c>
      <c r="AR247" s="157">
        <f t="shared" si="41"/>
        <v>0</v>
      </c>
      <c r="AS247" s="160">
        <f t="shared" si="42"/>
        <v>0</v>
      </c>
      <c r="AT247" s="150">
        <f t="shared" si="43"/>
        <v>0</v>
      </c>
      <c r="AU247" s="150">
        <f t="shared" si="44"/>
        <v>0</v>
      </c>
      <c r="AV247" s="165">
        <f t="shared" si="45"/>
        <v>0</v>
      </c>
      <c r="AW247" s="168">
        <f t="shared" si="46"/>
        <v>0</v>
      </c>
      <c r="AX247" s="149">
        <f t="shared" si="47"/>
        <v>0</v>
      </c>
      <c r="AY247" s="149">
        <f t="shared" si="48"/>
        <v>0</v>
      </c>
      <c r="AZ247" s="157">
        <f t="shared" si="49"/>
        <v>0</v>
      </c>
      <c r="BA247" s="160">
        <f t="shared" si="50"/>
        <v>0</v>
      </c>
      <c r="BB247" s="150">
        <f t="shared" si="51"/>
        <v>0</v>
      </c>
      <c r="BC247" s="150">
        <f t="shared" si="52"/>
        <v>0</v>
      </c>
      <c r="BD247" s="176">
        <f t="shared" si="53"/>
        <v>0</v>
      </c>
      <c r="BE247" s="168">
        <f t="shared" si="54"/>
        <v>0</v>
      </c>
      <c r="BF247" s="149">
        <f t="shared" si="55"/>
        <v>0</v>
      </c>
      <c r="BG247" s="149">
        <f t="shared" si="56"/>
        <v>0</v>
      </c>
      <c r="BH247" s="171">
        <f t="shared" si="57"/>
        <v>0</v>
      </c>
      <c r="BI247" s="160">
        <f t="shared" si="58"/>
        <v>0</v>
      </c>
      <c r="BJ247" s="150">
        <f t="shared" si="59"/>
        <v>0</v>
      </c>
      <c r="BK247" s="150">
        <f t="shared" si="60"/>
        <v>0</v>
      </c>
      <c r="BL247" s="176">
        <f t="shared" si="61"/>
        <v>0</v>
      </c>
      <c r="BM247" s="168">
        <f t="shared" si="62"/>
        <v>0</v>
      </c>
      <c r="BN247" s="149">
        <f t="shared" si="63"/>
        <v>0</v>
      </c>
      <c r="BO247" s="149">
        <f t="shared" si="64"/>
        <v>0</v>
      </c>
      <c r="BP247" s="157">
        <f t="shared" si="65"/>
        <v>0</v>
      </c>
      <c r="BQ247" s="160">
        <f t="shared" si="66"/>
        <v>0</v>
      </c>
      <c r="BR247" s="150">
        <f t="shared" si="67"/>
        <v>0</v>
      </c>
      <c r="BS247" s="150">
        <f t="shared" si="68"/>
        <v>0</v>
      </c>
      <c r="BT247" s="176">
        <f t="shared" si="69"/>
        <v>0</v>
      </c>
      <c r="BU247" s="168">
        <f t="shared" si="70"/>
        <v>427728.26605385361</v>
      </c>
      <c r="BV247" s="149">
        <f t="shared" si="71"/>
        <v>0</v>
      </c>
      <c r="BW247" s="149">
        <f t="shared" si="72"/>
        <v>0</v>
      </c>
      <c r="BX247" s="157">
        <f t="shared" si="73"/>
        <v>0</v>
      </c>
      <c r="BY247" s="160">
        <f t="shared" si="74"/>
        <v>0</v>
      </c>
      <c r="BZ247" s="150">
        <f t="shared" si="75"/>
        <v>0</v>
      </c>
      <c r="CA247" s="150">
        <f t="shared" si="76"/>
        <v>0</v>
      </c>
      <c r="CB247" s="176">
        <f t="shared" si="77"/>
        <v>0</v>
      </c>
      <c r="CC247" s="168">
        <f t="shared" si="78"/>
        <v>0</v>
      </c>
      <c r="CD247" s="149">
        <f t="shared" si="79"/>
        <v>0</v>
      </c>
      <c r="CE247" s="149">
        <f t="shared" si="80"/>
        <v>0</v>
      </c>
      <c r="CF247" s="157">
        <f t="shared" si="81"/>
        <v>0</v>
      </c>
      <c r="CG247" s="160">
        <f t="shared" si="82"/>
        <v>0</v>
      </c>
      <c r="CH247" s="150">
        <f t="shared" si="83"/>
        <v>0</v>
      </c>
      <c r="CI247" s="150">
        <f t="shared" si="84"/>
        <v>0</v>
      </c>
      <c r="CJ247" s="176">
        <f t="shared" si="85"/>
        <v>0</v>
      </c>
      <c r="CK247" s="168">
        <f t="shared" si="86"/>
        <v>0</v>
      </c>
      <c r="CL247" s="149">
        <f t="shared" si="87"/>
        <v>0</v>
      </c>
      <c r="CM247" s="149">
        <f t="shared" si="88"/>
        <v>0</v>
      </c>
      <c r="CN247" s="157">
        <f t="shared" si="89"/>
        <v>0</v>
      </c>
      <c r="CO247" s="160">
        <f t="shared" si="90"/>
        <v>0</v>
      </c>
      <c r="CP247" s="150">
        <f t="shared" si="91"/>
        <v>0</v>
      </c>
      <c r="CQ247" s="150">
        <f t="shared" si="92"/>
        <v>0</v>
      </c>
      <c r="CR247" s="176">
        <f t="shared" si="93"/>
        <v>0</v>
      </c>
      <c r="CS247" s="168">
        <f t="shared" si="94"/>
        <v>0</v>
      </c>
      <c r="CT247" s="149">
        <f t="shared" si="95"/>
        <v>0</v>
      </c>
      <c r="CU247" s="149">
        <f t="shared" si="96"/>
        <v>0</v>
      </c>
      <c r="CV247" s="157">
        <f t="shared" si="97"/>
        <v>0</v>
      </c>
      <c r="CW247" s="160">
        <f t="shared" si="98"/>
        <v>0</v>
      </c>
      <c r="CX247" s="150">
        <f t="shared" si="99"/>
        <v>0</v>
      </c>
      <c r="CY247" s="150">
        <f t="shared" si="100"/>
        <v>0</v>
      </c>
      <c r="CZ247" s="176">
        <f t="shared" si="101"/>
        <v>0</v>
      </c>
      <c r="DA247" s="168">
        <f t="shared" si="102"/>
        <v>0</v>
      </c>
      <c r="DB247" s="149">
        <f t="shared" si="103"/>
        <v>0</v>
      </c>
      <c r="DC247" s="149">
        <f t="shared" si="104"/>
        <v>0</v>
      </c>
      <c r="DD247" s="157">
        <f t="shared" si="105"/>
        <v>0</v>
      </c>
    </row>
    <row r="248" spans="2:108" x14ac:dyDescent="0.2">
      <c r="B248" s="182" t="s">
        <v>403</v>
      </c>
      <c r="C248" s="556">
        <v>13</v>
      </c>
      <c r="D248" s="168">
        <v>300000</v>
      </c>
      <c r="E248" s="149">
        <v>0</v>
      </c>
      <c r="F248" s="149">
        <v>0</v>
      </c>
      <c r="G248" s="149">
        <v>0</v>
      </c>
      <c r="H248" s="168">
        <f t="shared" si="148"/>
        <v>363033.43642174191</v>
      </c>
      <c r="I248" s="610">
        <f t="shared" si="149"/>
        <v>0</v>
      </c>
      <c r="J248" s="610">
        <f t="shared" si="150"/>
        <v>0</v>
      </c>
      <c r="K248" s="610">
        <f t="shared" si="151"/>
        <v>0</v>
      </c>
      <c r="L248" s="610">
        <f t="shared" si="152"/>
        <v>0</v>
      </c>
      <c r="M248" s="610">
        <f t="shared" si="153"/>
        <v>0</v>
      </c>
      <c r="N248" s="610">
        <f t="shared" si="154"/>
        <v>0</v>
      </c>
      <c r="O248" s="610">
        <f t="shared" si="155"/>
        <v>0</v>
      </c>
      <c r="P248" s="610">
        <f t="shared" si="156"/>
        <v>0</v>
      </c>
      <c r="Q248" s="610">
        <f t="shared" si="157"/>
        <v>0</v>
      </c>
      <c r="R248" s="610">
        <f t="shared" si="158"/>
        <v>0</v>
      </c>
      <c r="S248" s="610">
        <f t="shared" si="159"/>
        <v>0</v>
      </c>
      <c r="T248" s="610">
        <f t="shared" si="160"/>
        <v>0</v>
      </c>
      <c r="U248" s="610">
        <f t="shared" si="161"/>
        <v>363033.43642174191</v>
      </c>
      <c r="V248" s="610">
        <f t="shared" si="162"/>
        <v>0</v>
      </c>
      <c r="W248" s="610">
        <f t="shared" si="163"/>
        <v>0</v>
      </c>
      <c r="X248" s="610">
        <f t="shared" si="164"/>
        <v>0</v>
      </c>
      <c r="Y248" s="610">
        <f t="shared" si="165"/>
        <v>0</v>
      </c>
      <c r="Z248" s="610">
        <f t="shared" si="166"/>
        <v>0</v>
      </c>
      <c r="AA248" s="610">
        <f t="shared" si="167"/>
        <v>0</v>
      </c>
      <c r="AB248" s="611">
        <f t="shared" si="168"/>
        <v>0</v>
      </c>
      <c r="AC248" s="160">
        <f t="shared" si="26"/>
        <v>0</v>
      </c>
      <c r="AD248" s="150">
        <f t="shared" si="27"/>
        <v>0</v>
      </c>
      <c r="AE248" s="150">
        <f t="shared" si="28"/>
        <v>0</v>
      </c>
      <c r="AF248" s="165">
        <f t="shared" si="29"/>
        <v>0</v>
      </c>
      <c r="AG248" s="168">
        <f t="shared" si="30"/>
        <v>0</v>
      </c>
      <c r="AH248" s="149">
        <f t="shared" si="31"/>
        <v>0</v>
      </c>
      <c r="AI248" s="149">
        <f t="shared" si="32"/>
        <v>0</v>
      </c>
      <c r="AJ248" s="171">
        <f t="shared" si="33"/>
        <v>0</v>
      </c>
      <c r="AK248" s="160">
        <f t="shared" si="34"/>
        <v>0</v>
      </c>
      <c r="AL248" s="150">
        <f t="shared" si="35"/>
        <v>0</v>
      </c>
      <c r="AM248" s="150">
        <f t="shared" si="36"/>
        <v>0</v>
      </c>
      <c r="AN248" s="165">
        <f t="shared" si="37"/>
        <v>0</v>
      </c>
      <c r="AO248" s="168">
        <f t="shared" si="38"/>
        <v>0</v>
      </c>
      <c r="AP248" s="149">
        <f t="shared" si="39"/>
        <v>0</v>
      </c>
      <c r="AQ248" s="149">
        <f t="shared" si="40"/>
        <v>0</v>
      </c>
      <c r="AR248" s="157">
        <f t="shared" si="41"/>
        <v>0</v>
      </c>
      <c r="AS248" s="160">
        <f t="shared" si="42"/>
        <v>0</v>
      </c>
      <c r="AT248" s="150">
        <f t="shared" si="43"/>
        <v>0</v>
      </c>
      <c r="AU248" s="150">
        <f t="shared" si="44"/>
        <v>0</v>
      </c>
      <c r="AV248" s="165">
        <f t="shared" si="45"/>
        <v>0</v>
      </c>
      <c r="AW248" s="168">
        <f t="shared" si="46"/>
        <v>0</v>
      </c>
      <c r="AX248" s="149">
        <f t="shared" si="47"/>
        <v>0</v>
      </c>
      <c r="AY248" s="149">
        <f t="shared" si="48"/>
        <v>0</v>
      </c>
      <c r="AZ248" s="157">
        <f t="shared" si="49"/>
        <v>0</v>
      </c>
      <c r="BA248" s="160">
        <f t="shared" si="50"/>
        <v>0</v>
      </c>
      <c r="BB248" s="150">
        <f t="shared" si="51"/>
        <v>0</v>
      </c>
      <c r="BC248" s="150">
        <f t="shared" si="52"/>
        <v>0</v>
      </c>
      <c r="BD248" s="176">
        <f t="shared" si="53"/>
        <v>0</v>
      </c>
      <c r="BE248" s="168">
        <f t="shared" si="54"/>
        <v>0</v>
      </c>
      <c r="BF248" s="149">
        <f t="shared" si="55"/>
        <v>0</v>
      </c>
      <c r="BG248" s="149">
        <f t="shared" si="56"/>
        <v>0</v>
      </c>
      <c r="BH248" s="171">
        <f t="shared" si="57"/>
        <v>0</v>
      </c>
      <c r="BI248" s="160">
        <f t="shared" si="58"/>
        <v>0</v>
      </c>
      <c r="BJ248" s="150">
        <f t="shared" si="59"/>
        <v>0</v>
      </c>
      <c r="BK248" s="150">
        <f t="shared" si="60"/>
        <v>0</v>
      </c>
      <c r="BL248" s="176">
        <f t="shared" si="61"/>
        <v>0</v>
      </c>
      <c r="BM248" s="168">
        <f t="shared" si="62"/>
        <v>0</v>
      </c>
      <c r="BN248" s="149">
        <f t="shared" si="63"/>
        <v>0</v>
      </c>
      <c r="BO248" s="149">
        <f t="shared" si="64"/>
        <v>0</v>
      </c>
      <c r="BP248" s="157">
        <f t="shared" si="65"/>
        <v>0</v>
      </c>
      <c r="BQ248" s="160">
        <f t="shared" si="66"/>
        <v>0</v>
      </c>
      <c r="BR248" s="150">
        <f t="shared" si="67"/>
        <v>0</v>
      </c>
      <c r="BS248" s="150">
        <f t="shared" si="68"/>
        <v>0</v>
      </c>
      <c r="BT248" s="176">
        <f t="shared" si="69"/>
        <v>0</v>
      </c>
      <c r="BU248" s="168">
        <f t="shared" si="70"/>
        <v>0</v>
      </c>
      <c r="BV248" s="149">
        <f t="shared" si="71"/>
        <v>0</v>
      </c>
      <c r="BW248" s="149">
        <f t="shared" si="72"/>
        <v>0</v>
      </c>
      <c r="BX248" s="157">
        <f t="shared" si="73"/>
        <v>0</v>
      </c>
      <c r="BY248" s="160">
        <f t="shared" si="74"/>
        <v>440560.11403546919</v>
      </c>
      <c r="BZ248" s="150">
        <f t="shared" si="75"/>
        <v>0</v>
      </c>
      <c r="CA248" s="150">
        <f t="shared" si="76"/>
        <v>0</v>
      </c>
      <c r="CB248" s="176">
        <f t="shared" si="77"/>
        <v>0</v>
      </c>
      <c r="CC248" s="168">
        <f t="shared" si="78"/>
        <v>0</v>
      </c>
      <c r="CD248" s="149">
        <f t="shared" si="79"/>
        <v>0</v>
      </c>
      <c r="CE248" s="149">
        <f t="shared" si="80"/>
        <v>0</v>
      </c>
      <c r="CF248" s="157">
        <f t="shared" si="81"/>
        <v>0</v>
      </c>
      <c r="CG248" s="160">
        <f t="shared" si="82"/>
        <v>0</v>
      </c>
      <c r="CH248" s="150">
        <f t="shared" si="83"/>
        <v>0</v>
      </c>
      <c r="CI248" s="150">
        <f t="shared" si="84"/>
        <v>0</v>
      </c>
      <c r="CJ248" s="176">
        <f t="shared" si="85"/>
        <v>0</v>
      </c>
      <c r="CK248" s="168">
        <f t="shared" si="86"/>
        <v>0</v>
      </c>
      <c r="CL248" s="149">
        <f t="shared" si="87"/>
        <v>0</v>
      </c>
      <c r="CM248" s="149">
        <f t="shared" si="88"/>
        <v>0</v>
      </c>
      <c r="CN248" s="157">
        <f t="shared" si="89"/>
        <v>0</v>
      </c>
      <c r="CO248" s="160">
        <f t="shared" si="90"/>
        <v>0</v>
      </c>
      <c r="CP248" s="150">
        <f t="shared" si="91"/>
        <v>0</v>
      </c>
      <c r="CQ248" s="150">
        <f t="shared" si="92"/>
        <v>0</v>
      </c>
      <c r="CR248" s="176">
        <f t="shared" si="93"/>
        <v>0</v>
      </c>
      <c r="CS248" s="168">
        <f t="shared" si="94"/>
        <v>0</v>
      </c>
      <c r="CT248" s="149">
        <f t="shared" si="95"/>
        <v>0</v>
      </c>
      <c r="CU248" s="149">
        <f t="shared" si="96"/>
        <v>0</v>
      </c>
      <c r="CV248" s="157">
        <f t="shared" si="97"/>
        <v>0</v>
      </c>
      <c r="CW248" s="160">
        <f t="shared" si="98"/>
        <v>0</v>
      </c>
      <c r="CX248" s="150">
        <f t="shared" si="99"/>
        <v>0</v>
      </c>
      <c r="CY248" s="150">
        <f t="shared" si="100"/>
        <v>0</v>
      </c>
      <c r="CZ248" s="176">
        <f t="shared" si="101"/>
        <v>0</v>
      </c>
      <c r="DA248" s="168">
        <f t="shared" si="102"/>
        <v>0</v>
      </c>
      <c r="DB248" s="149">
        <f t="shared" si="103"/>
        <v>0</v>
      </c>
      <c r="DC248" s="149">
        <f t="shared" si="104"/>
        <v>0</v>
      </c>
      <c r="DD248" s="157">
        <f t="shared" si="105"/>
        <v>0</v>
      </c>
    </row>
    <row r="249" spans="2:108" x14ac:dyDescent="0.2">
      <c r="B249" s="182" t="s">
        <v>404</v>
      </c>
      <c r="C249" s="556">
        <v>14</v>
      </c>
      <c r="D249" s="168">
        <v>300000</v>
      </c>
      <c r="E249" s="149">
        <v>0</v>
      </c>
      <c r="F249" s="149">
        <v>0</v>
      </c>
      <c r="G249" s="149">
        <v>0</v>
      </c>
      <c r="H249" s="168">
        <f t="shared" si="148"/>
        <v>368398.46257575788</v>
      </c>
      <c r="I249" s="610">
        <f t="shared" si="149"/>
        <v>0</v>
      </c>
      <c r="J249" s="610">
        <f t="shared" si="150"/>
        <v>0</v>
      </c>
      <c r="K249" s="610">
        <f t="shared" si="151"/>
        <v>0</v>
      </c>
      <c r="L249" s="610">
        <f t="shared" si="152"/>
        <v>0</v>
      </c>
      <c r="M249" s="610">
        <f t="shared" si="153"/>
        <v>0</v>
      </c>
      <c r="N249" s="610">
        <f t="shared" si="154"/>
        <v>0</v>
      </c>
      <c r="O249" s="610">
        <f t="shared" si="155"/>
        <v>0</v>
      </c>
      <c r="P249" s="610">
        <f t="shared" si="156"/>
        <v>0</v>
      </c>
      <c r="Q249" s="610">
        <f t="shared" si="157"/>
        <v>0</v>
      </c>
      <c r="R249" s="610">
        <f t="shared" si="158"/>
        <v>0</v>
      </c>
      <c r="S249" s="610">
        <f t="shared" si="159"/>
        <v>0</v>
      </c>
      <c r="T249" s="610">
        <f t="shared" si="160"/>
        <v>0</v>
      </c>
      <c r="U249" s="610">
        <f t="shared" si="161"/>
        <v>0</v>
      </c>
      <c r="V249" s="610">
        <f t="shared" si="162"/>
        <v>368398.46257575788</v>
      </c>
      <c r="W249" s="610">
        <f t="shared" si="163"/>
        <v>0</v>
      </c>
      <c r="X249" s="610">
        <f t="shared" si="164"/>
        <v>0</v>
      </c>
      <c r="Y249" s="610">
        <f t="shared" si="165"/>
        <v>0</v>
      </c>
      <c r="Z249" s="610">
        <f t="shared" si="166"/>
        <v>0</v>
      </c>
      <c r="AA249" s="610">
        <f t="shared" si="167"/>
        <v>0</v>
      </c>
      <c r="AB249" s="611">
        <f t="shared" si="168"/>
        <v>0</v>
      </c>
      <c r="AC249" s="160">
        <f t="shared" si="26"/>
        <v>0</v>
      </c>
      <c r="AD249" s="150">
        <f t="shared" si="27"/>
        <v>0</v>
      </c>
      <c r="AE249" s="150">
        <f t="shared" si="28"/>
        <v>0</v>
      </c>
      <c r="AF249" s="165">
        <f t="shared" si="29"/>
        <v>0</v>
      </c>
      <c r="AG249" s="168">
        <f t="shared" si="30"/>
        <v>0</v>
      </c>
      <c r="AH249" s="149">
        <f t="shared" si="31"/>
        <v>0</v>
      </c>
      <c r="AI249" s="149">
        <f t="shared" si="32"/>
        <v>0</v>
      </c>
      <c r="AJ249" s="171">
        <f t="shared" si="33"/>
        <v>0</v>
      </c>
      <c r="AK249" s="160">
        <f t="shared" si="34"/>
        <v>0</v>
      </c>
      <c r="AL249" s="150">
        <f t="shared" si="35"/>
        <v>0</v>
      </c>
      <c r="AM249" s="150">
        <f t="shared" si="36"/>
        <v>0</v>
      </c>
      <c r="AN249" s="165">
        <f t="shared" si="37"/>
        <v>0</v>
      </c>
      <c r="AO249" s="168">
        <f t="shared" si="38"/>
        <v>0</v>
      </c>
      <c r="AP249" s="149">
        <f t="shared" si="39"/>
        <v>0</v>
      </c>
      <c r="AQ249" s="149">
        <f t="shared" si="40"/>
        <v>0</v>
      </c>
      <c r="AR249" s="157">
        <f t="shared" si="41"/>
        <v>0</v>
      </c>
      <c r="AS249" s="160">
        <f t="shared" si="42"/>
        <v>0</v>
      </c>
      <c r="AT249" s="150">
        <f t="shared" si="43"/>
        <v>0</v>
      </c>
      <c r="AU249" s="150">
        <f t="shared" si="44"/>
        <v>0</v>
      </c>
      <c r="AV249" s="165">
        <f t="shared" si="45"/>
        <v>0</v>
      </c>
      <c r="AW249" s="168">
        <f t="shared" si="46"/>
        <v>0</v>
      </c>
      <c r="AX249" s="149">
        <f t="shared" si="47"/>
        <v>0</v>
      </c>
      <c r="AY249" s="149">
        <f t="shared" si="48"/>
        <v>0</v>
      </c>
      <c r="AZ249" s="157">
        <f t="shared" si="49"/>
        <v>0</v>
      </c>
      <c r="BA249" s="160">
        <f t="shared" si="50"/>
        <v>0</v>
      </c>
      <c r="BB249" s="150">
        <f t="shared" si="51"/>
        <v>0</v>
      </c>
      <c r="BC249" s="150">
        <f t="shared" si="52"/>
        <v>0</v>
      </c>
      <c r="BD249" s="176">
        <f t="shared" si="53"/>
        <v>0</v>
      </c>
      <c r="BE249" s="168">
        <f t="shared" si="54"/>
        <v>0</v>
      </c>
      <c r="BF249" s="149">
        <f t="shared" si="55"/>
        <v>0</v>
      </c>
      <c r="BG249" s="149">
        <f t="shared" si="56"/>
        <v>0</v>
      </c>
      <c r="BH249" s="171">
        <f t="shared" si="57"/>
        <v>0</v>
      </c>
      <c r="BI249" s="160">
        <f t="shared" si="58"/>
        <v>0</v>
      </c>
      <c r="BJ249" s="150">
        <f t="shared" si="59"/>
        <v>0</v>
      </c>
      <c r="BK249" s="150">
        <f t="shared" si="60"/>
        <v>0</v>
      </c>
      <c r="BL249" s="176">
        <f t="shared" si="61"/>
        <v>0</v>
      </c>
      <c r="BM249" s="168">
        <f t="shared" si="62"/>
        <v>0</v>
      </c>
      <c r="BN249" s="149">
        <f t="shared" si="63"/>
        <v>0</v>
      </c>
      <c r="BO249" s="149">
        <f t="shared" si="64"/>
        <v>0</v>
      </c>
      <c r="BP249" s="157">
        <f t="shared" si="65"/>
        <v>0</v>
      </c>
      <c r="BQ249" s="160">
        <f t="shared" si="66"/>
        <v>0</v>
      </c>
      <c r="BR249" s="150">
        <f t="shared" si="67"/>
        <v>0</v>
      </c>
      <c r="BS249" s="150">
        <f t="shared" si="68"/>
        <v>0</v>
      </c>
      <c r="BT249" s="176">
        <f t="shared" si="69"/>
        <v>0</v>
      </c>
      <c r="BU249" s="168">
        <f t="shared" si="70"/>
        <v>0</v>
      </c>
      <c r="BV249" s="149">
        <f t="shared" si="71"/>
        <v>0</v>
      </c>
      <c r="BW249" s="149">
        <f t="shared" si="72"/>
        <v>0</v>
      </c>
      <c r="BX249" s="157">
        <f t="shared" si="73"/>
        <v>0</v>
      </c>
      <c r="BY249" s="160">
        <f t="shared" si="74"/>
        <v>0</v>
      </c>
      <c r="BZ249" s="150">
        <f t="shared" si="75"/>
        <v>0</v>
      </c>
      <c r="CA249" s="150">
        <f t="shared" si="76"/>
        <v>0</v>
      </c>
      <c r="CB249" s="176">
        <f t="shared" si="77"/>
        <v>0</v>
      </c>
      <c r="CC249" s="168">
        <f t="shared" si="78"/>
        <v>453776.91745653329</v>
      </c>
      <c r="CD249" s="149">
        <f t="shared" si="79"/>
        <v>0</v>
      </c>
      <c r="CE249" s="149">
        <f t="shared" si="80"/>
        <v>0</v>
      </c>
      <c r="CF249" s="157">
        <f t="shared" si="81"/>
        <v>0</v>
      </c>
      <c r="CG249" s="160">
        <f t="shared" si="82"/>
        <v>0</v>
      </c>
      <c r="CH249" s="150">
        <f t="shared" si="83"/>
        <v>0</v>
      </c>
      <c r="CI249" s="150">
        <f t="shared" si="84"/>
        <v>0</v>
      </c>
      <c r="CJ249" s="176">
        <f t="shared" si="85"/>
        <v>0</v>
      </c>
      <c r="CK249" s="168">
        <f t="shared" si="86"/>
        <v>0</v>
      </c>
      <c r="CL249" s="149">
        <f t="shared" si="87"/>
        <v>0</v>
      </c>
      <c r="CM249" s="149">
        <f t="shared" si="88"/>
        <v>0</v>
      </c>
      <c r="CN249" s="157">
        <f t="shared" si="89"/>
        <v>0</v>
      </c>
      <c r="CO249" s="160">
        <f t="shared" si="90"/>
        <v>0</v>
      </c>
      <c r="CP249" s="150">
        <f t="shared" si="91"/>
        <v>0</v>
      </c>
      <c r="CQ249" s="150">
        <f t="shared" si="92"/>
        <v>0</v>
      </c>
      <c r="CR249" s="176">
        <f t="shared" si="93"/>
        <v>0</v>
      </c>
      <c r="CS249" s="168">
        <f t="shared" si="94"/>
        <v>0</v>
      </c>
      <c r="CT249" s="149">
        <f t="shared" si="95"/>
        <v>0</v>
      </c>
      <c r="CU249" s="149">
        <f t="shared" si="96"/>
        <v>0</v>
      </c>
      <c r="CV249" s="157">
        <f t="shared" si="97"/>
        <v>0</v>
      </c>
      <c r="CW249" s="160">
        <f t="shared" si="98"/>
        <v>0</v>
      </c>
      <c r="CX249" s="150">
        <f t="shared" si="99"/>
        <v>0</v>
      </c>
      <c r="CY249" s="150">
        <f t="shared" si="100"/>
        <v>0</v>
      </c>
      <c r="CZ249" s="176">
        <f t="shared" si="101"/>
        <v>0</v>
      </c>
      <c r="DA249" s="168">
        <f t="shared" si="102"/>
        <v>0</v>
      </c>
      <c r="DB249" s="149">
        <f t="shared" si="103"/>
        <v>0</v>
      </c>
      <c r="DC249" s="149">
        <f t="shared" si="104"/>
        <v>0</v>
      </c>
      <c r="DD249" s="157">
        <f t="shared" si="105"/>
        <v>0</v>
      </c>
    </row>
    <row r="250" spans="2:108" x14ac:dyDescent="0.2">
      <c r="B250" s="182" t="s">
        <v>405</v>
      </c>
      <c r="C250" s="556">
        <v>15</v>
      </c>
      <c r="D250" s="168">
        <v>300000</v>
      </c>
      <c r="E250" s="149">
        <v>0</v>
      </c>
      <c r="F250" s="149">
        <v>0</v>
      </c>
      <c r="G250" s="149">
        <v>0</v>
      </c>
      <c r="H250" s="168">
        <f t="shared" si="148"/>
        <v>373842.77483057213</v>
      </c>
      <c r="I250" s="610">
        <f t="shared" si="149"/>
        <v>0</v>
      </c>
      <c r="J250" s="610">
        <f t="shared" si="150"/>
        <v>0</v>
      </c>
      <c r="K250" s="610">
        <f t="shared" si="151"/>
        <v>0</v>
      </c>
      <c r="L250" s="610">
        <f t="shared" si="152"/>
        <v>0</v>
      </c>
      <c r="M250" s="610">
        <f t="shared" si="153"/>
        <v>0</v>
      </c>
      <c r="N250" s="610">
        <f t="shared" si="154"/>
        <v>0</v>
      </c>
      <c r="O250" s="610">
        <f t="shared" si="155"/>
        <v>0</v>
      </c>
      <c r="P250" s="610">
        <f t="shared" si="156"/>
        <v>0</v>
      </c>
      <c r="Q250" s="610">
        <f t="shared" si="157"/>
        <v>0</v>
      </c>
      <c r="R250" s="610">
        <f t="shared" si="158"/>
        <v>0</v>
      </c>
      <c r="S250" s="610">
        <f t="shared" si="159"/>
        <v>0</v>
      </c>
      <c r="T250" s="610">
        <f t="shared" si="160"/>
        <v>0</v>
      </c>
      <c r="U250" s="610">
        <f t="shared" si="161"/>
        <v>0</v>
      </c>
      <c r="V250" s="610">
        <f t="shared" si="162"/>
        <v>0</v>
      </c>
      <c r="W250" s="610">
        <f t="shared" si="163"/>
        <v>373842.77483057213</v>
      </c>
      <c r="X250" s="610">
        <f t="shared" si="164"/>
        <v>0</v>
      </c>
      <c r="Y250" s="610">
        <f t="shared" si="165"/>
        <v>0</v>
      </c>
      <c r="Z250" s="610">
        <f t="shared" si="166"/>
        <v>0</v>
      </c>
      <c r="AA250" s="610">
        <f t="shared" si="167"/>
        <v>0</v>
      </c>
      <c r="AB250" s="611">
        <f t="shared" si="168"/>
        <v>0</v>
      </c>
      <c r="AC250" s="160">
        <f t="shared" si="26"/>
        <v>0</v>
      </c>
      <c r="AD250" s="150">
        <f t="shared" si="27"/>
        <v>0</v>
      </c>
      <c r="AE250" s="150">
        <f t="shared" si="28"/>
        <v>0</v>
      </c>
      <c r="AF250" s="165">
        <f t="shared" si="29"/>
        <v>0</v>
      </c>
      <c r="AG250" s="168">
        <f t="shared" si="30"/>
        <v>0</v>
      </c>
      <c r="AH250" s="149">
        <f t="shared" si="31"/>
        <v>0</v>
      </c>
      <c r="AI250" s="149">
        <f t="shared" si="32"/>
        <v>0</v>
      </c>
      <c r="AJ250" s="171">
        <f t="shared" si="33"/>
        <v>0</v>
      </c>
      <c r="AK250" s="160">
        <f t="shared" si="34"/>
        <v>0</v>
      </c>
      <c r="AL250" s="150">
        <f t="shared" si="35"/>
        <v>0</v>
      </c>
      <c r="AM250" s="150">
        <f t="shared" si="36"/>
        <v>0</v>
      </c>
      <c r="AN250" s="165">
        <f t="shared" si="37"/>
        <v>0</v>
      </c>
      <c r="AO250" s="168">
        <f t="shared" si="38"/>
        <v>0</v>
      </c>
      <c r="AP250" s="149">
        <f t="shared" si="39"/>
        <v>0</v>
      </c>
      <c r="AQ250" s="149">
        <f t="shared" si="40"/>
        <v>0</v>
      </c>
      <c r="AR250" s="157">
        <f t="shared" si="41"/>
        <v>0</v>
      </c>
      <c r="AS250" s="160">
        <f t="shared" si="42"/>
        <v>0</v>
      </c>
      <c r="AT250" s="150">
        <f t="shared" si="43"/>
        <v>0</v>
      </c>
      <c r="AU250" s="150">
        <f t="shared" si="44"/>
        <v>0</v>
      </c>
      <c r="AV250" s="165">
        <f t="shared" si="45"/>
        <v>0</v>
      </c>
      <c r="AW250" s="168">
        <f t="shared" si="46"/>
        <v>0</v>
      </c>
      <c r="AX250" s="149">
        <f t="shared" si="47"/>
        <v>0</v>
      </c>
      <c r="AY250" s="149">
        <f t="shared" si="48"/>
        <v>0</v>
      </c>
      <c r="AZ250" s="157">
        <f t="shared" si="49"/>
        <v>0</v>
      </c>
      <c r="BA250" s="160">
        <f t="shared" si="50"/>
        <v>0</v>
      </c>
      <c r="BB250" s="150">
        <f t="shared" si="51"/>
        <v>0</v>
      </c>
      <c r="BC250" s="150">
        <f t="shared" si="52"/>
        <v>0</v>
      </c>
      <c r="BD250" s="176">
        <f t="shared" si="53"/>
        <v>0</v>
      </c>
      <c r="BE250" s="168">
        <f t="shared" si="54"/>
        <v>0</v>
      </c>
      <c r="BF250" s="149">
        <f t="shared" si="55"/>
        <v>0</v>
      </c>
      <c r="BG250" s="149">
        <f t="shared" si="56"/>
        <v>0</v>
      </c>
      <c r="BH250" s="171">
        <f t="shared" si="57"/>
        <v>0</v>
      </c>
      <c r="BI250" s="160">
        <f t="shared" si="58"/>
        <v>0</v>
      </c>
      <c r="BJ250" s="150">
        <f t="shared" si="59"/>
        <v>0</v>
      </c>
      <c r="BK250" s="150">
        <f t="shared" si="60"/>
        <v>0</v>
      </c>
      <c r="BL250" s="176">
        <f t="shared" si="61"/>
        <v>0</v>
      </c>
      <c r="BM250" s="168">
        <f t="shared" si="62"/>
        <v>0</v>
      </c>
      <c r="BN250" s="149">
        <f t="shared" si="63"/>
        <v>0</v>
      </c>
      <c r="BO250" s="149">
        <f t="shared" si="64"/>
        <v>0</v>
      </c>
      <c r="BP250" s="157">
        <f t="shared" si="65"/>
        <v>0</v>
      </c>
      <c r="BQ250" s="160">
        <f t="shared" si="66"/>
        <v>0</v>
      </c>
      <c r="BR250" s="150">
        <f t="shared" si="67"/>
        <v>0</v>
      </c>
      <c r="BS250" s="150">
        <f t="shared" si="68"/>
        <v>0</v>
      </c>
      <c r="BT250" s="176">
        <f t="shared" si="69"/>
        <v>0</v>
      </c>
      <c r="BU250" s="168">
        <f t="shared" si="70"/>
        <v>0</v>
      </c>
      <c r="BV250" s="149">
        <f t="shared" si="71"/>
        <v>0</v>
      </c>
      <c r="BW250" s="149">
        <f t="shared" si="72"/>
        <v>0</v>
      </c>
      <c r="BX250" s="157">
        <f t="shared" si="73"/>
        <v>0</v>
      </c>
      <c r="BY250" s="160">
        <f t="shared" si="74"/>
        <v>0</v>
      </c>
      <c r="BZ250" s="150">
        <f t="shared" si="75"/>
        <v>0</v>
      </c>
      <c r="CA250" s="150">
        <f t="shared" si="76"/>
        <v>0</v>
      </c>
      <c r="CB250" s="176">
        <f t="shared" si="77"/>
        <v>0</v>
      </c>
      <c r="CC250" s="168">
        <f t="shared" si="78"/>
        <v>0</v>
      </c>
      <c r="CD250" s="149">
        <f t="shared" si="79"/>
        <v>0</v>
      </c>
      <c r="CE250" s="149">
        <f t="shared" si="80"/>
        <v>0</v>
      </c>
      <c r="CF250" s="157">
        <f t="shared" si="81"/>
        <v>0</v>
      </c>
      <c r="CG250" s="160">
        <f t="shared" si="82"/>
        <v>467390.22498022934</v>
      </c>
      <c r="CH250" s="150">
        <f t="shared" si="83"/>
        <v>0</v>
      </c>
      <c r="CI250" s="150">
        <f t="shared" si="84"/>
        <v>0</v>
      </c>
      <c r="CJ250" s="176">
        <f t="shared" si="85"/>
        <v>0</v>
      </c>
      <c r="CK250" s="168">
        <f t="shared" si="86"/>
        <v>0</v>
      </c>
      <c r="CL250" s="149">
        <f t="shared" si="87"/>
        <v>0</v>
      </c>
      <c r="CM250" s="149">
        <f t="shared" si="88"/>
        <v>0</v>
      </c>
      <c r="CN250" s="157">
        <f t="shared" si="89"/>
        <v>0</v>
      </c>
      <c r="CO250" s="160">
        <f t="shared" si="90"/>
        <v>0</v>
      </c>
      <c r="CP250" s="150">
        <f t="shared" si="91"/>
        <v>0</v>
      </c>
      <c r="CQ250" s="150">
        <f t="shared" si="92"/>
        <v>0</v>
      </c>
      <c r="CR250" s="176">
        <f t="shared" si="93"/>
        <v>0</v>
      </c>
      <c r="CS250" s="168">
        <f t="shared" si="94"/>
        <v>0</v>
      </c>
      <c r="CT250" s="149">
        <f t="shared" si="95"/>
        <v>0</v>
      </c>
      <c r="CU250" s="149">
        <f t="shared" si="96"/>
        <v>0</v>
      </c>
      <c r="CV250" s="157">
        <f t="shared" si="97"/>
        <v>0</v>
      </c>
      <c r="CW250" s="160">
        <f t="shared" si="98"/>
        <v>0</v>
      </c>
      <c r="CX250" s="150">
        <f t="shared" si="99"/>
        <v>0</v>
      </c>
      <c r="CY250" s="150">
        <f t="shared" si="100"/>
        <v>0</v>
      </c>
      <c r="CZ250" s="176">
        <f t="shared" si="101"/>
        <v>0</v>
      </c>
      <c r="DA250" s="168">
        <f t="shared" si="102"/>
        <v>0</v>
      </c>
      <c r="DB250" s="149">
        <f t="shared" si="103"/>
        <v>0</v>
      </c>
      <c r="DC250" s="149">
        <f t="shared" si="104"/>
        <v>0</v>
      </c>
      <c r="DD250" s="157">
        <f t="shared" si="105"/>
        <v>0</v>
      </c>
    </row>
    <row r="251" spans="2:108" x14ac:dyDescent="0.2">
      <c r="B251" s="182" t="s">
        <v>406</v>
      </c>
      <c r="C251" s="556">
        <v>16</v>
      </c>
      <c r="D251" s="168">
        <v>300000</v>
      </c>
      <c r="E251" s="149">
        <v>0</v>
      </c>
      <c r="F251" s="149">
        <v>0</v>
      </c>
      <c r="G251" s="149">
        <v>0</v>
      </c>
      <c r="H251" s="168">
        <f t="shared" si="148"/>
        <v>379367.54490195983</v>
      </c>
      <c r="I251" s="610">
        <f t="shared" si="149"/>
        <v>0</v>
      </c>
      <c r="J251" s="610">
        <f t="shared" si="150"/>
        <v>0</v>
      </c>
      <c r="K251" s="610">
        <f t="shared" si="151"/>
        <v>0</v>
      </c>
      <c r="L251" s="610">
        <f t="shared" si="152"/>
        <v>0</v>
      </c>
      <c r="M251" s="610">
        <f t="shared" si="153"/>
        <v>0</v>
      </c>
      <c r="N251" s="610">
        <f t="shared" si="154"/>
        <v>0</v>
      </c>
      <c r="O251" s="610">
        <f t="shared" si="155"/>
        <v>0</v>
      </c>
      <c r="P251" s="610">
        <f t="shared" si="156"/>
        <v>0</v>
      </c>
      <c r="Q251" s="610">
        <f t="shared" si="157"/>
        <v>0</v>
      </c>
      <c r="R251" s="610">
        <f t="shared" si="158"/>
        <v>0</v>
      </c>
      <c r="S251" s="610">
        <f t="shared" si="159"/>
        <v>0</v>
      </c>
      <c r="T251" s="610">
        <f t="shared" si="160"/>
        <v>0</v>
      </c>
      <c r="U251" s="610">
        <f t="shared" si="161"/>
        <v>0</v>
      </c>
      <c r="V251" s="610">
        <f t="shared" si="162"/>
        <v>0</v>
      </c>
      <c r="W251" s="610">
        <f t="shared" si="163"/>
        <v>0</v>
      </c>
      <c r="X251" s="610">
        <f t="shared" si="164"/>
        <v>379367.54490195983</v>
      </c>
      <c r="Y251" s="610">
        <f t="shared" si="165"/>
        <v>0</v>
      </c>
      <c r="Z251" s="610">
        <f t="shared" si="166"/>
        <v>0</v>
      </c>
      <c r="AA251" s="610">
        <f t="shared" si="167"/>
        <v>0</v>
      </c>
      <c r="AB251" s="611">
        <f t="shared" si="168"/>
        <v>0</v>
      </c>
      <c r="AC251" s="160">
        <f t="shared" si="26"/>
        <v>0</v>
      </c>
      <c r="AD251" s="150">
        <f t="shared" si="27"/>
        <v>0</v>
      </c>
      <c r="AE251" s="150">
        <f t="shared" si="28"/>
        <v>0</v>
      </c>
      <c r="AF251" s="165">
        <f t="shared" si="29"/>
        <v>0</v>
      </c>
      <c r="AG251" s="168">
        <f t="shared" si="30"/>
        <v>0</v>
      </c>
      <c r="AH251" s="149">
        <f t="shared" si="31"/>
        <v>0</v>
      </c>
      <c r="AI251" s="149">
        <f t="shared" si="32"/>
        <v>0</v>
      </c>
      <c r="AJ251" s="171">
        <f t="shared" si="33"/>
        <v>0</v>
      </c>
      <c r="AK251" s="160">
        <f t="shared" si="34"/>
        <v>0</v>
      </c>
      <c r="AL251" s="150">
        <f t="shared" si="35"/>
        <v>0</v>
      </c>
      <c r="AM251" s="150">
        <f t="shared" si="36"/>
        <v>0</v>
      </c>
      <c r="AN251" s="165">
        <f t="shared" si="37"/>
        <v>0</v>
      </c>
      <c r="AO251" s="168">
        <f t="shared" si="38"/>
        <v>0</v>
      </c>
      <c r="AP251" s="149">
        <f t="shared" si="39"/>
        <v>0</v>
      </c>
      <c r="AQ251" s="149">
        <f t="shared" si="40"/>
        <v>0</v>
      </c>
      <c r="AR251" s="157">
        <f t="shared" si="41"/>
        <v>0</v>
      </c>
      <c r="AS251" s="160">
        <f t="shared" si="42"/>
        <v>0</v>
      </c>
      <c r="AT251" s="150">
        <f t="shared" si="43"/>
        <v>0</v>
      </c>
      <c r="AU251" s="150">
        <f t="shared" si="44"/>
        <v>0</v>
      </c>
      <c r="AV251" s="165">
        <f t="shared" si="45"/>
        <v>0</v>
      </c>
      <c r="AW251" s="168">
        <f t="shared" si="46"/>
        <v>0</v>
      </c>
      <c r="AX251" s="149">
        <f t="shared" si="47"/>
        <v>0</v>
      </c>
      <c r="AY251" s="149">
        <f t="shared" si="48"/>
        <v>0</v>
      </c>
      <c r="AZ251" s="157">
        <f t="shared" si="49"/>
        <v>0</v>
      </c>
      <c r="BA251" s="160">
        <f t="shared" si="50"/>
        <v>0</v>
      </c>
      <c r="BB251" s="150">
        <f t="shared" si="51"/>
        <v>0</v>
      </c>
      <c r="BC251" s="150">
        <f t="shared" si="52"/>
        <v>0</v>
      </c>
      <c r="BD251" s="176">
        <f t="shared" si="53"/>
        <v>0</v>
      </c>
      <c r="BE251" s="168">
        <f t="shared" si="54"/>
        <v>0</v>
      </c>
      <c r="BF251" s="149">
        <f t="shared" si="55"/>
        <v>0</v>
      </c>
      <c r="BG251" s="149">
        <f t="shared" si="56"/>
        <v>0</v>
      </c>
      <c r="BH251" s="171">
        <f t="shared" si="57"/>
        <v>0</v>
      </c>
      <c r="BI251" s="160">
        <f t="shared" si="58"/>
        <v>0</v>
      </c>
      <c r="BJ251" s="150">
        <f t="shared" si="59"/>
        <v>0</v>
      </c>
      <c r="BK251" s="150">
        <f t="shared" si="60"/>
        <v>0</v>
      </c>
      <c r="BL251" s="176">
        <f t="shared" si="61"/>
        <v>0</v>
      </c>
      <c r="BM251" s="168">
        <f t="shared" si="62"/>
        <v>0</v>
      </c>
      <c r="BN251" s="149">
        <f t="shared" si="63"/>
        <v>0</v>
      </c>
      <c r="BO251" s="149">
        <f t="shared" si="64"/>
        <v>0</v>
      </c>
      <c r="BP251" s="157">
        <f t="shared" si="65"/>
        <v>0</v>
      </c>
      <c r="BQ251" s="160">
        <f t="shared" si="66"/>
        <v>0</v>
      </c>
      <c r="BR251" s="150">
        <f t="shared" si="67"/>
        <v>0</v>
      </c>
      <c r="BS251" s="150">
        <f t="shared" si="68"/>
        <v>0</v>
      </c>
      <c r="BT251" s="176">
        <f t="shared" si="69"/>
        <v>0</v>
      </c>
      <c r="BU251" s="168">
        <f t="shared" si="70"/>
        <v>0</v>
      </c>
      <c r="BV251" s="149">
        <f t="shared" si="71"/>
        <v>0</v>
      </c>
      <c r="BW251" s="149">
        <f t="shared" si="72"/>
        <v>0</v>
      </c>
      <c r="BX251" s="157">
        <f t="shared" si="73"/>
        <v>0</v>
      </c>
      <c r="BY251" s="160">
        <f t="shared" si="74"/>
        <v>0</v>
      </c>
      <c r="BZ251" s="150">
        <f t="shared" si="75"/>
        <v>0</v>
      </c>
      <c r="CA251" s="150">
        <f t="shared" si="76"/>
        <v>0</v>
      </c>
      <c r="CB251" s="176">
        <f t="shared" si="77"/>
        <v>0</v>
      </c>
      <c r="CC251" s="168">
        <f t="shared" si="78"/>
        <v>0</v>
      </c>
      <c r="CD251" s="149">
        <f t="shared" si="79"/>
        <v>0</v>
      </c>
      <c r="CE251" s="149">
        <f t="shared" si="80"/>
        <v>0</v>
      </c>
      <c r="CF251" s="157">
        <f t="shared" si="81"/>
        <v>0</v>
      </c>
      <c r="CG251" s="160">
        <f t="shared" si="82"/>
        <v>0</v>
      </c>
      <c r="CH251" s="150">
        <f t="shared" si="83"/>
        <v>0</v>
      </c>
      <c r="CI251" s="150">
        <f t="shared" si="84"/>
        <v>0</v>
      </c>
      <c r="CJ251" s="176">
        <f t="shared" si="85"/>
        <v>0</v>
      </c>
      <c r="CK251" s="168">
        <f t="shared" si="86"/>
        <v>481411.9317296361</v>
      </c>
      <c r="CL251" s="149">
        <f t="shared" si="87"/>
        <v>0</v>
      </c>
      <c r="CM251" s="149">
        <f t="shared" si="88"/>
        <v>0</v>
      </c>
      <c r="CN251" s="157">
        <f t="shared" si="89"/>
        <v>0</v>
      </c>
      <c r="CO251" s="160">
        <f t="shared" si="90"/>
        <v>0</v>
      </c>
      <c r="CP251" s="150">
        <f t="shared" si="91"/>
        <v>0</v>
      </c>
      <c r="CQ251" s="150">
        <f t="shared" si="92"/>
        <v>0</v>
      </c>
      <c r="CR251" s="176">
        <f t="shared" si="93"/>
        <v>0</v>
      </c>
      <c r="CS251" s="168">
        <f t="shared" si="94"/>
        <v>0</v>
      </c>
      <c r="CT251" s="149">
        <f t="shared" si="95"/>
        <v>0</v>
      </c>
      <c r="CU251" s="149">
        <f t="shared" si="96"/>
        <v>0</v>
      </c>
      <c r="CV251" s="157">
        <f t="shared" si="97"/>
        <v>0</v>
      </c>
      <c r="CW251" s="160">
        <f t="shared" si="98"/>
        <v>0</v>
      </c>
      <c r="CX251" s="150">
        <f t="shared" si="99"/>
        <v>0</v>
      </c>
      <c r="CY251" s="150">
        <f t="shared" si="100"/>
        <v>0</v>
      </c>
      <c r="CZ251" s="176">
        <f t="shared" si="101"/>
        <v>0</v>
      </c>
      <c r="DA251" s="168">
        <f t="shared" si="102"/>
        <v>0</v>
      </c>
      <c r="DB251" s="149">
        <f t="shared" si="103"/>
        <v>0</v>
      </c>
      <c r="DC251" s="149">
        <f t="shared" si="104"/>
        <v>0</v>
      </c>
      <c r="DD251" s="157">
        <f t="shared" si="105"/>
        <v>0</v>
      </c>
    </row>
    <row r="252" spans="2:108" x14ac:dyDescent="0.2">
      <c r="B252" s="182" t="s">
        <v>407</v>
      </c>
      <c r="C252" s="556">
        <v>17</v>
      </c>
      <c r="D252" s="168">
        <v>300000</v>
      </c>
      <c r="E252" s="149">
        <v>0</v>
      </c>
      <c r="F252" s="149">
        <v>0</v>
      </c>
      <c r="G252" s="149">
        <v>0</v>
      </c>
      <c r="H252" s="168">
        <f t="shared" si="148"/>
        <v>384973.96182169334</v>
      </c>
      <c r="I252" s="610">
        <f t="shared" si="149"/>
        <v>0</v>
      </c>
      <c r="J252" s="610">
        <f t="shared" si="150"/>
        <v>0</v>
      </c>
      <c r="K252" s="610">
        <f t="shared" si="151"/>
        <v>0</v>
      </c>
      <c r="L252" s="610">
        <f t="shared" si="152"/>
        <v>0</v>
      </c>
      <c r="M252" s="610">
        <f t="shared" si="153"/>
        <v>0</v>
      </c>
      <c r="N252" s="610">
        <f t="shared" si="154"/>
        <v>0</v>
      </c>
      <c r="O252" s="610">
        <f t="shared" si="155"/>
        <v>0</v>
      </c>
      <c r="P252" s="610">
        <f t="shared" si="156"/>
        <v>0</v>
      </c>
      <c r="Q252" s="610">
        <f t="shared" si="157"/>
        <v>0</v>
      </c>
      <c r="R252" s="610">
        <f t="shared" si="158"/>
        <v>0</v>
      </c>
      <c r="S252" s="610">
        <f t="shared" si="159"/>
        <v>0</v>
      </c>
      <c r="T252" s="610">
        <f t="shared" si="160"/>
        <v>0</v>
      </c>
      <c r="U252" s="610">
        <f t="shared" si="161"/>
        <v>0</v>
      </c>
      <c r="V252" s="610">
        <f t="shared" si="162"/>
        <v>0</v>
      </c>
      <c r="W252" s="610">
        <f t="shared" si="163"/>
        <v>0</v>
      </c>
      <c r="X252" s="610">
        <f t="shared" si="164"/>
        <v>0</v>
      </c>
      <c r="Y252" s="610">
        <f t="shared" si="165"/>
        <v>384973.96182169334</v>
      </c>
      <c r="Z252" s="610">
        <f t="shared" si="166"/>
        <v>0</v>
      </c>
      <c r="AA252" s="610">
        <f t="shared" si="167"/>
        <v>0</v>
      </c>
      <c r="AB252" s="611">
        <f t="shared" si="168"/>
        <v>0</v>
      </c>
      <c r="AC252" s="160">
        <f t="shared" si="26"/>
        <v>0</v>
      </c>
      <c r="AD252" s="150">
        <f t="shared" si="27"/>
        <v>0</v>
      </c>
      <c r="AE252" s="150">
        <f t="shared" si="28"/>
        <v>0</v>
      </c>
      <c r="AF252" s="165">
        <f t="shared" si="29"/>
        <v>0</v>
      </c>
      <c r="AG252" s="168">
        <f t="shared" si="30"/>
        <v>0</v>
      </c>
      <c r="AH252" s="149">
        <f t="shared" si="31"/>
        <v>0</v>
      </c>
      <c r="AI252" s="149">
        <f t="shared" si="32"/>
        <v>0</v>
      </c>
      <c r="AJ252" s="171">
        <f t="shared" si="33"/>
        <v>0</v>
      </c>
      <c r="AK252" s="160">
        <f t="shared" si="34"/>
        <v>0</v>
      </c>
      <c r="AL252" s="150">
        <f t="shared" si="35"/>
        <v>0</v>
      </c>
      <c r="AM252" s="150">
        <f t="shared" si="36"/>
        <v>0</v>
      </c>
      <c r="AN252" s="165">
        <f t="shared" si="37"/>
        <v>0</v>
      </c>
      <c r="AO252" s="168">
        <f t="shared" si="38"/>
        <v>0</v>
      </c>
      <c r="AP252" s="149">
        <f t="shared" si="39"/>
        <v>0</v>
      </c>
      <c r="AQ252" s="149">
        <f t="shared" si="40"/>
        <v>0</v>
      </c>
      <c r="AR252" s="157">
        <f t="shared" si="41"/>
        <v>0</v>
      </c>
      <c r="AS252" s="160">
        <f t="shared" si="42"/>
        <v>0</v>
      </c>
      <c r="AT252" s="150">
        <f t="shared" si="43"/>
        <v>0</v>
      </c>
      <c r="AU252" s="150">
        <f t="shared" si="44"/>
        <v>0</v>
      </c>
      <c r="AV252" s="165">
        <f t="shared" si="45"/>
        <v>0</v>
      </c>
      <c r="AW252" s="168">
        <f t="shared" si="46"/>
        <v>0</v>
      </c>
      <c r="AX252" s="149">
        <f t="shared" si="47"/>
        <v>0</v>
      </c>
      <c r="AY252" s="149">
        <f t="shared" si="48"/>
        <v>0</v>
      </c>
      <c r="AZ252" s="157">
        <f t="shared" si="49"/>
        <v>0</v>
      </c>
      <c r="BA252" s="160">
        <f t="shared" si="50"/>
        <v>0</v>
      </c>
      <c r="BB252" s="150">
        <f t="shared" si="51"/>
        <v>0</v>
      </c>
      <c r="BC252" s="150">
        <f t="shared" si="52"/>
        <v>0</v>
      </c>
      <c r="BD252" s="176">
        <f t="shared" si="53"/>
        <v>0</v>
      </c>
      <c r="BE252" s="168">
        <f t="shared" si="54"/>
        <v>0</v>
      </c>
      <c r="BF252" s="149">
        <f t="shared" si="55"/>
        <v>0</v>
      </c>
      <c r="BG252" s="149">
        <f t="shared" si="56"/>
        <v>0</v>
      </c>
      <c r="BH252" s="171">
        <f t="shared" si="57"/>
        <v>0</v>
      </c>
      <c r="BI252" s="160">
        <f t="shared" si="58"/>
        <v>0</v>
      </c>
      <c r="BJ252" s="150">
        <f t="shared" si="59"/>
        <v>0</v>
      </c>
      <c r="BK252" s="150">
        <f t="shared" si="60"/>
        <v>0</v>
      </c>
      <c r="BL252" s="176">
        <f t="shared" si="61"/>
        <v>0</v>
      </c>
      <c r="BM252" s="168">
        <f t="shared" si="62"/>
        <v>0</v>
      </c>
      <c r="BN252" s="149">
        <f t="shared" si="63"/>
        <v>0</v>
      </c>
      <c r="BO252" s="149">
        <f t="shared" si="64"/>
        <v>0</v>
      </c>
      <c r="BP252" s="157">
        <f t="shared" si="65"/>
        <v>0</v>
      </c>
      <c r="BQ252" s="160">
        <f t="shared" si="66"/>
        <v>0</v>
      </c>
      <c r="BR252" s="150">
        <f t="shared" si="67"/>
        <v>0</v>
      </c>
      <c r="BS252" s="150">
        <f t="shared" si="68"/>
        <v>0</v>
      </c>
      <c r="BT252" s="176">
        <f t="shared" si="69"/>
        <v>0</v>
      </c>
      <c r="BU252" s="168">
        <f t="shared" si="70"/>
        <v>0</v>
      </c>
      <c r="BV252" s="149">
        <f t="shared" si="71"/>
        <v>0</v>
      </c>
      <c r="BW252" s="149">
        <f t="shared" si="72"/>
        <v>0</v>
      </c>
      <c r="BX252" s="157">
        <f t="shared" si="73"/>
        <v>0</v>
      </c>
      <c r="BY252" s="160">
        <f t="shared" si="74"/>
        <v>0</v>
      </c>
      <c r="BZ252" s="150">
        <f t="shared" si="75"/>
        <v>0</v>
      </c>
      <c r="CA252" s="150">
        <f t="shared" si="76"/>
        <v>0</v>
      </c>
      <c r="CB252" s="176">
        <f t="shared" si="77"/>
        <v>0</v>
      </c>
      <c r="CC252" s="168">
        <f t="shared" si="78"/>
        <v>0</v>
      </c>
      <c r="CD252" s="149">
        <f t="shared" si="79"/>
        <v>0</v>
      </c>
      <c r="CE252" s="149">
        <f t="shared" si="80"/>
        <v>0</v>
      </c>
      <c r="CF252" s="157">
        <f t="shared" si="81"/>
        <v>0</v>
      </c>
      <c r="CG252" s="160">
        <f t="shared" si="82"/>
        <v>0</v>
      </c>
      <c r="CH252" s="150">
        <f t="shared" si="83"/>
        <v>0</v>
      </c>
      <c r="CI252" s="150">
        <f t="shared" si="84"/>
        <v>0</v>
      </c>
      <c r="CJ252" s="176">
        <f t="shared" si="85"/>
        <v>0</v>
      </c>
      <c r="CK252" s="168">
        <f t="shared" si="86"/>
        <v>0</v>
      </c>
      <c r="CL252" s="149">
        <f t="shared" si="87"/>
        <v>0</v>
      </c>
      <c r="CM252" s="149">
        <f t="shared" si="88"/>
        <v>0</v>
      </c>
      <c r="CN252" s="157">
        <f t="shared" si="89"/>
        <v>0</v>
      </c>
      <c r="CO252" s="160">
        <f t="shared" si="90"/>
        <v>495854.2896815252</v>
      </c>
      <c r="CP252" s="150">
        <f t="shared" si="91"/>
        <v>0</v>
      </c>
      <c r="CQ252" s="150">
        <f t="shared" si="92"/>
        <v>0</v>
      </c>
      <c r="CR252" s="176">
        <f t="shared" si="93"/>
        <v>0</v>
      </c>
      <c r="CS252" s="168">
        <f t="shared" si="94"/>
        <v>0</v>
      </c>
      <c r="CT252" s="149">
        <f t="shared" si="95"/>
        <v>0</v>
      </c>
      <c r="CU252" s="149">
        <f t="shared" si="96"/>
        <v>0</v>
      </c>
      <c r="CV252" s="157">
        <f t="shared" si="97"/>
        <v>0</v>
      </c>
      <c r="CW252" s="160">
        <f t="shared" si="98"/>
        <v>0</v>
      </c>
      <c r="CX252" s="150">
        <f t="shared" si="99"/>
        <v>0</v>
      </c>
      <c r="CY252" s="150">
        <f t="shared" si="100"/>
        <v>0</v>
      </c>
      <c r="CZ252" s="176">
        <f t="shared" si="101"/>
        <v>0</v>
      </c>
      <c r="DA252" s="168">
        <f t="shared" si="102"/>
        <v>0</v>
      </c>
      <c r="DB252" s="149">
        <f t="shared" si="103"/>
        <v>0</v>
      </c>
      <c r="DC252" s="149">
        <f t="shared" si="104"/>
        <v>0</v>
      </c>
      <c r="DD252" s="157">
        <f t="shared" si="105"/>
        <v>0</v>
      </c>
    </row>
    <row r="253" spans="2:108" x14ac:dyDescent="0.2">
      <c r="B253" s="182" t="s">
        <v>408</v>
      </c>
      <c r="C253" s="556">
        <v>18</v>
      </c>
      <c r="D253" s="168">
        <v>300000</v>
      </c>
      <c r="E253" s="149">
        <v>0</v>
      </c>
      <c r="F253" s="149">
        <v>0</v>
      </c>
      <c r="G253" s="149">
        <v>0</v>
      </c>
      <c r="H253" s="168">
        <f t="shared" si="148"/>
        <v>390663.23219344253</v>
      </c>
      <c r="I253" s="610">
        <f t="shared" si="149"/>
        <v>0</v>
      </c>
      <c r="J253" s="610">
        <f t="shared" si="150"/>
        <v>0</v>
      </c>
      <c r="K253" s="610">
        <f t="shared" si="151"/>
        <v>0</v>
      </c>
      <c r="L253" s="610">
        <f t="shared" si="152"/>
        <v>0</v>
      </c>
      <c r="M253" s="610">
        <f t="shared" si="153"/>
        <v>0</v>
      </c>
      <c r="N253" s="610">
        <f t="shared" si="154"/>
        <v>0</v>
      </c>
      <c r="O253" s="610">
        <f t="shared" si="155"/>
        <v>0</v>
      </c>
      <c r="P253" s="610">
        <f t="shared" si="156"/>
        <v>0</v>
      </c>
      <c r="Q253" s="610">
        <f t="shared" si="157"/>
        <v>0</v>
      </c>
      <c r="R253" s="610">
        <f t="shared" si="158"/>
        <v>0</v>
      </c>
      <c r="S253" s="610">
        <f t="shared" si="159"/>
        <v>0</v>
      </c>
      <c r="T253" s="610">
        <f t="shared" si="160"/>
        <v>0</v>
      </c>
      <c r="U253" s="610">
        <f t="shared" si="161"/>
        <v>0</v>
      </c>
      <c r="V253" s="610">
        <f t="shared" si="162"/>
        <v>0</v>
      </c>
      <c r="W253" s="610">
        <f t="shared" si="163"/>
        <v>0</v>
      </c>
      <c r="X253" s="610">
        <f t="shared" si="164"/>
        <v>0</v>
      </c>
      <c r="Y253" s="610">
        <f t="shared" si="165"/>
        <v>0</v>
      </c>
      <c r="Z253" s="610">
        <f t="shared" si="166"/>
        <v>390663.23219344253</v>
      </c>
      <c r="AA253" s="610">
        <f t="shared" si="167"/>
        <v>0</v>
      </c>
      <c r="AB253" s="611">
        <f t="shared" si="168"/>
        <v>0</v>
      </c>
      <c r="AC253" s="160">
        <f t="shared" si="26"/>
        <v>0</v>
      </c>
      <c r="AD253" s="150">
        <f t="shared" si="27"/>
        <v>0</v>
      </c>
      <c r="AE253" s="150">
        <f t="shared" si="28"/>
        <v>0</v>
      </c>
      <c r="AF253" s="165">
        <f t="shared" si="29"/>
        <v>0</v>
      </c>
      <c r="AG253" s="168">
        <f t="shared" si="30"/>
        <v>0</v>
      </c>
      <c r="AH253" s="149">
        <f t="shared" si="31"/>
        <v>0</v>
      </c>
      <c r="AI253" s="149">
        <f t="shared" si="32"/>
        <v>0</v>
      </c>
      <c r="AJ253" s="171">
        <f t="shared" si="33"/>
        <v>0</v>
      </c>
      <c r="AK253" s="160">
        <f t="shared" si="34"/>
        <v>0</v>
      </c>
      <c r="AL253" s="150">
        <f t="shared" si="35"/>
        <v>0</v>
      </c>
      <c r="AM253" s="150">
        <f t="shared" si="36"/>
        <v>0</v>
      </c>
      <c r="AN253" s="165">
        <f t="shared" si="37"/>
        <v>0</v>
      </c>
      <c r="AO253" s="168">
        <f t="shared" si="38"/>
        <v>0</v>
      </c>
      <c r="AP253" s="149">
        <f t="shared" si="39"/>
        <v>0</v>
      </c>
      <c r="AQ253" s="149">
        <f t="shared" si="40"/>
        <v>0</v>
      </c>
      <c r="AR253" s="157">
        <f t="shared" si="41"/>
        <v>0</v>
      </c>
      <c r="AS253" s="160">
        <f t="shared" si="42"/>
        <v>0</v>
      </c>
      <c r="AT253" s="150">
        <f t="shared" si="43"/>
        <v>0</v>
      </c>
      <c r="AU253" s="150">
        <f t="shared" si="44"/>
        <v>0</v>
      </c>
      <c r="AV253" s="165">
        <f t="shared" si="45"/>
        <v>0</v>
      </c>
      <c r="AW253" s="168">
        <f t="shared" si="46"/>
        <v>0</v>
      </c>
      <c r="AX253" s="149">
        <f t="shared" si="47"/>
        <v>0</v>
      </c>
      <c r="AY253" s="149">
        <f t="shared" si="48"/>
        <v>0</v>
      </c>
      <c r="AZ253" s="157">
        <f t="shared" si="49"/>
        <v>0</v>
      </c>
      <c r="BA253" s="160">
        <f t="shared" si="50"/>
        <v>0</v>
      </c>
      <c r="BB253" s="150">
        <f t="shared" si="51"/>
        <v>0</v>
      </c>
      <c r="BC253" s="150">
        <f t="shared" si="52"/>
        <v>0</v>
      </c>
      <c r="BD253" s="176">
        <f t="shared" si="53"/>
        <v>0</v>
      </c>
      <c r="BE253" s="168">
        <f t="shared" si="54"/>
        <v>0</v>
      </c>
      <c r="BF253" s="149">
        <f t="shared" si="55"/>
        <v>0</v>
      </c>
      <c r="BG253" s="149">
        <f t="shared" si="56"/>
        <v>0</v>
      </c>
      <c r="BH253" s="171">
        <f t="shared" si="57"/>
        <v>0</v>
      </c>
      <c r="BI253" s="160">
        <f t="shared" si="58"/>
        <v>0</v>
      </c>
      <c r="BJ253" s="150">
        <f t="shared" si="59"/>
        <v>0</v>
      </c>
      <c r="BK253" s="150">
        <f t="shared" si="60"/>
        <v>0</v>
      </c>
      <c r="BL253" s="176">
        <f t="shared" si="61"/>
        <v>0</v>
      </c>
      <c r="BM253" s="168">
        <f t="shared" si="62"/>
        <v>0</v>
      </c>
      <c r="BN253" s="149">
        <f t="shared" si="63"/>
        <v>0</v>
      </c>
      <c r="BO253" s="149">
        <f t="shared" si="64"/>
        <v>0</v>
      </c>
      <c r="BP253" s="157">
        <f t="shared" si="65"/>
        <v>0</v>
      </c>
      <c r="BQ253" s="160">
        <f t="shared" si="66"/>
        <v>0</v>
      </c>
      <c r="BR253" s="150">
        <f t="shared" si="67"/>
        <v>0</v>
      </c>
      <c r="BS253" s="150">
        <f t="shared" si="68"/>
        <v>0</v>
      </c>
      <c r="BT253" s="176">
        <f t="shared" si="69"/>
        <v>0</v>
      </c>
      <c r="BU253" s="168">
        <f t="shared" si="70"/>
        <v>0</v>
      </c>
      <c r="BV253" s="149">
        <f t="shared" si="71"/>
        <v>0</v>
      </c>
      <c r="BW253" s="149">
        <f t="shared" si="72"/>
        <v>0</v>
      </c>
      <c r="BX253" s="157">
        <f t="shared" si="73"/>
        <v>0</v>
      </c>
      <c r="BY253" s="160">
        <f t="shared" si="74"/>
        <v>0</v>
      </c>
      <c r="BZ253" s="150">
        <f t="shared" si="75"/>
        <v>0</v>
      </c>
      <c r="CA253" s="150">
        <f t="shared" si="76"/>
        <v>0</v>
      </c>
      <c r="CB253" s="176">
        <f t="shared" si="77"/>
        <v>0</v>
      </c>
      <c r="CC253" s="168">
        <f t="shared" si="78"/>
        <v>0</v>
      </c>
      <c r="CD253" s="149">
        <f t="shared" si="79"/>
        <v>0</v>
      </c>
      <c r="CE253" s="149">
        <f t="shared" si="80"/>
        <v>0</v>
      </c>
      <c r="CF253" s="157">
        <f t="shared" si="81"/>
        <v>0</v>
      </c>
      <c r="CG253" s="160">
        <f t="shared" si="82"/>
        <v>0</v>
      </c>
      <c r="CH253" s="150">
        <f t="shared" si="83"/>
        <v>0</v>
      </c>
      <c r="CI253" s="150">
        <f t="shared" si="84"/>
        <v>0</v>
      </c>
      <c r="CJ253" s="176">
        <f t="shared" si="85"/>
        <v>0</v>
      </c>
      <c r="CK253" s="168">
        <f t="shared" si="86"/>
        <v>0</v>
      </c>
      <c r="CL253" s="149">
        <f t="shared" si="87"/>
        <v>0</v>
      </c>
      <c r="CM253" s="149">
        <f t="shared" si="88"/>
        <v>0</v>
      </c>
      <c r="CN253" s="157">
        <f t="shared" si="89"/>
        <v>0</v>
      </c>
      <c r="CO253" s="160">
        <f t="shared" si="90"/>
        <v>0</v>
      </c>
      <c r="CP253" s="150">
        <f t="shared" si="91"/>
        <v>0</v>
      </c>
      <c r="CQ253" s="150">
        <f t="shared" si="92"/>
        <v>0</v>
      </c>
      <c r="CR253" s="176">
        <f t="shared" si="93"/>
        <v>0</v>
      </c>
      <c r="CS253" s="168">
        <f t="shared" si="94"/>
        <v>510729.918371971</v>
      </c>
      <c r="CT253" s="149">
        <f t="shared" si="95"/>
        <v>0</v>
      </c>
      <c r="CU253" s="149">
        <f t="shared" si="96"/>
        <v>0</v>
      </c>
      <c r="CV253" s="157">
        <f t="shared" si="97"/>
        <v>0</v>
      </c>
      <c r="CW253" s="160">
        <f t="shared" si="98"/>
        <v>0</v>
      </c>
      <c r="CX253" s="150">
        <f t="shared" si="99"/>
        <v>0</v>
      </c>
      <c r="CY253" s="150">
        <f t="shared" si="100"/>
        <v>0</v>
      </c>
      <c r="CZ253" s="176">
        <f t="shared" si="101"/>
        <v>0</v>
      </c>
      <c r="DA253" s="168">
        <f t="shared" si="102"/>
        <v>0</v>
      </c>
      <c r="DB253" s="149">
        <f t="shared" si="103"/>
        <v>0</v>
      </c>
      <c r="DC253" s="149">
        <f t="shared" si="104"/>
        <v>0</v>
      </c>
      <c r="DD253" s="157">
        <f t="shared" si="105"/>
        <v>0</v>
      </c>
    </row>
    <row r="254" spans="2:108" x14ac:dyDescent="0.2">
      <c r="B254" s="182" t="s">
        <v>409</v>
      </c>
      <c r="C254" s="556">
        <v>19</v>
      </c>
      <c r="D254" s="168">
        <v>300000</v>
      </c>
      <c r="E254" s="149">
        <v>0</v>
      </c>
      <c r="F254" s="149">
        <v>0</v>
      </c>
      <c r="G254" s="149">
        <v>0</v>
      </c>
      <c r="H254" s="168">
        <f t="shared" si="148"/>
        <v>396436.58045245899</v>
      </c>
      <c r="I254" s="610">
        <f t="shared" si="149"/>
        <v>0</v>
      </c>
      <c r="J254" s="610">
        <f t="shared" si="150"/>
        <v>0</v>
      </c>
      <c r="K254" s="610">
        <f t="shared" si="151"/>
        <v>0</v>
      </c>
      <c r="L254" s="610">
        <f t="shared" si="152"/>
        <v>0</v>
      </c>
      <c r="M254" s="610">
        <f t="shared" si="153"/>
        <v>0</v>
      </c>
      <c r="N254" s="610">
        <f t="shared" si="154"/>
        <v>0</v>
      </c>
      <c r="O254" s="610">
        <f t="shared" si="155"/>
        <v>0</v>
      </c>
      <c r="P254" s="610">
        <f t="shared" si="156"/>
        <v>0</v>
      </c>
      <c r="Q254" s="610">
        <f t="shared" si="157"/>
        <v>0</v>
      </c>
      <c r="R254" s="610">
        <f t="shared" si="158"/>
        <v>0</v>
      </c>
      <c r="S254" s="610">
        <f t="shared" si="159"/>
        <v>0</v>
      </c>
      <c r="T254" s="610">
        <f t="shared" si="160"/>
        <v>0</v>
      </c>
      <c r="U254" s="610">
        <f t="shared" si="161"/>
        <v>0</v>
      </c>
      <c r="V254" s="610">
        <f t="shared" si="162"/>
        <v>0</v>
      </c>
      <c r="W254" s="610">
        <f t="shared" si="163"/>
        <v>0</v>
      </c>
      <c r="X254" s="610">
        <f t="shared" si="164"/>
        <v>0</v>
      </c>
      <c r="Y254" s="610">
        <f t="shared" si="165"/>
        <v>0</v>
      </c>
      <c r="Z254" s="610">
        <f t="shared" si="166"/>
        <v>0</v>
      </c>
      <c r="AA254" s="610">
        <f t="shared" si="167"/>
        <v>396436.58045245899</v>
      </c>
      <c r="AB254" s="611">
        <f t="shared" si="168"/>
        <v>0</v>
      </c>
      <c r="AC254" s="160">
        <f t="shared" si="26"/>
        <v>0</v>
      </c>
      <c r="AD254" s="150">
        <f t="shared" si="27"/>
        <v>0</v>
      </c>
      <c r="AE254" s="150">
        <f t="shared" si="28"/>
        <v>0</v>
      </c>
      <c r="AF254" s="165">
        <f t="shared" si="29"/>
        <v>0</v>
      </c>
      <c r="AG254" s="168">
        <f t="shared" si="30"/>
        <v>0</v>
      </c>
      <c r="AH254" s="149">
        <f t="shared" si="31"/>
        <v>0</v>
      </c>
      <c r="AI254" s="149">
        <f t="shared" si="32"/>
        <v>0</v>
      </c>
      <c r="AJ254" s="171">
        <f t="shared" si="33"/>
        <v>0</v>
      </c>
      <c r="AK254" s="160">
        <f t="shared" si="34"/>
        <v>0</v>
      </c>
      <c r="AL254" s="150">
        <f t="shared" si="35"/>
        <v>0</v>
      </c>
      <c r="AM254" s="150">
        <f t="shared" si="36"/>
        <v>0</v>
      </c>
      <c r="AN254" s="165">
        <f t="shared" si="37"/>
        <v>0</v>
      </c>
      <c r="AO254" s="168">
        <f t="shared" si="38"/>
        <v>0</v>
      </c>
      <c r="AP254" s="149">
        <f t="shared" si="39"/>
        <v>0</v>
      </c>
      <c r="AQ254" s="149">
        <f t="shared" si="40"/>
        <v>0</v>
      </c>
      <c r="AR254" s="157">
        <f t="shared" si="41"/>
        <v>0</v>
      </c>
      <c r="AS254" s="160">
        <f t="shared" si="42"/>
        <v>0</v>
      </c>
      <c r="AT254" s="150">
        <f t="shared" si="43"/>
        <v>0</v>
      </c>
      <c r="AU254" s="150">
        <f t="shared" si="44"/>
        <v>0</v>
      </c>
      <c r="AV254" s="165">
        <f t="shared" si="45"/>
        <v>0</v>
      </c>
      <c r="AW254" s="168">
        <f t="shared" si="46"/>
        <v>0</v>
      </c>
      <c r="AX254" s="149">
        <f t="shared" si="47"/>
        <v>0</v>
      </c>
      <c r="AY254" s="149">
        <f t="shared" si="48"/>
        <v>0</v>
      </c>
      <c r="AZ254" s="157">
        <f t="shared" si="49"/>
        <v>0</v>
      </c>
      <c r="BA254" s="160">
        <f t="shared" si="50"/>
        <v>0</v>
      </c>
      <c r="BB254" s="150">
        <f t="shared" si="51"/>
        <v>0</v>
      </c>
      <c r="BC254" s="150">
        <f t="shared" si="52"/>
        <v>0</v>
      </c>
      <c r="BD254" s="176">
        <f t="shared" si="53"/>
        <v>0</v>
      </c>
      <c r="BE254" s="168">
        <f t="shared" si="54"/>
        <v>0</v>
      </c>
      <c r="BF254" s="149">
        <f t="shared" si="55"/>
        <v>0</v>
      </c>
      <c r="BG254" s="149">
        <f t="shared" si="56"/>
        <v>0</v>
      </c>
      <c r="BH254" s="171">
        <f t="shared" si="57"/>
        <v>0</v>
      </c>
      <c r="BI254" s="160">
        <f t="shared" si="58"/>
        <v>0</v>
      </c>
      <c r="BJ254" s="150">
        <f t="shared" si="59"/>
        <v>0</v>
      </c>
      <c r="BK254" s="150">
        <f t="shared" si="60"/>
        <v>0</v>
      </c>
      <c r="BL254" s="176">
        <f t="shared" si="61"/>
        <v>0</v>
      </c>
      <c r="BM254" s="168">
        <f t="shared" si="62"/>
        <v>0</v>
      </c>
      <c r="BN254" s="149">
        <f t="shared" si="63"/>
        <v>0</v>
      </c>
      <c r="BO254" s="149">
        <f t="shared" si="64"/>
        <v>0</v>
      </c>
      <c r="BP254" s="157">
        <f t="shared" si="65"/>
        <v>0</v>
      </c>
      <c r="BQ254" s="160">
        <f t="shared" si="66"/>
        <v>0</v>
      </c>
      <c r="BR254" s="150">
        <f t="shared" si="67"/>
        <v>0</v>
      </c>
      <c r="BS254" s="150">
        <f t="shared" si="68"/>
        <v>0</v>
      </c>
      <c r="BT254" s="176">
        <f t="shared" si="69"/>
        <v>0</v>
      </c>
      <c r="BU254" s="168">
        <f t="shared" si="70"/>
        <v>0</v>
      </c>
      <c r="BV254" s="149">
        <f t="shared" si="71"/>
        <v>0</v>
      </c>
      <c r="BW254" s="149">
        <f t="shared" si="72"/>
        <v>0</v>
      </c>
      <c r="BX254" s="157">
        <f t="shared" si="73"/>
        <v>0</v>
      </c>
      <c r="BY254" s="160">
        <f t="shared" si="74"/>
        <v>0</v>
      </c>
      <c r="BZ254" s="150">
        <f t="shared" si="75"/>
        <v>0</v>
      </c>
      <c r="CA254" s="150">
        <f t="shared" si="76"/>
        <v>0</v>
      </c>
      <c r="CB254" s="176">
        <f t="shared" si="77"/>
        <v>0</v>
      </c>
      <c r="CC254" s="168">
        <f t="shared" si="78"/>
        <v>0</v>
      </c>
      <c r="CD254" s="149">
        <f t="shared" si="79"/>
        <v>0</v>
      </c>
      <c r="CE254" s="149">
        <f t="shared" si="80"/>
        <v>0</v>
      </c>
      <c r="CF254" s="157">
        <f t="shared" si="81"/>
        <v>0</v>
      </c>
      <c r="CG254" s="160">
        <f t="shared" si="82"/>
        <v>0</v>
      </c>
      <c r="CH254" s="150">
        <f t="shared" si="83"/>
        <v>0</v>
      </c>
      <c r="CI254" s="150">
        <f t="shared" si="84"/>
        <v>0</v>
      </c>
      <c r="CJ254" s="176">
        <f t="shared" si="85"/>
        <v>0</v>
      </c>
      <c r="CK254" s="168">
        <f t="shared" si="86"/>
        <v>0</v>
      </c>
      <c r="CL254" s="149">
        <f t="shared" si="87"/>
        <v>0</v>
      </c>
      <c r="CM254" s="149">
        <f t="shared" si="88"/>
        <v>0</v>
      </c>
      <c r="CN254" s="157">
        <f t="shared" si="89"/>
        <v>0</v>
      </c>
      <c r="CO254" s="160">
        <f t="shared" si="90"/>
        <v>0</v>
      </c>
      <c r="CP254" s="150">
        <f t="shared" si="91"/>
        <v>0</v>
      </c>
      <c r="CQ254" s="150">
        <f t="shared" si="92"/>
        <v>0</v>
      </c>
      <c r="CR254" s="176">
        <f t="shared" si="93"/>
        <v>0</v>
      </c>
      <c r="CS254" s="168">
        <f t="shared" si="94"/>
        <v>0</v>
      </c>
      <c r="CT254" s="149">
        <f t="shared" si="95"/>
        <v>0</v>
      </c>
      <c r="CU254" s="149">
        <f t="shared" si="96"/>
        <v>0</v>
      </c>
      <c r="CV254" s="157">
        <f t="shared" si="97"/>
        <v>0</v>
      </c>
      <c r="CW254" s="160">
        <f t="shared" si="98"/>
        <v>526051.81592313014</v>
      </c>
      <c r="CX254" s="150">
        <f t="shared" si="99"/>
        <v>0</v>
      </c>
      <c r="CY254" s="150">
        <f t="shared" si="100"/>
        <v>0</v>
      </c>
      <c r="CZ254" s="176">
        <f t="shared" si="101"/>
        <v>0</v>
      </c>
      <c r="DA254" s="168">
        <f t="shared" si="102"/>
        <v>0</v>
      </c>
      <c r="DB254" s="149">
        <f t="shared" si="103"/>
        <v>0</v>
      </c>
      <c r="DC254" s="149">
        <f t="shared" si="104"/>
        <v>0</v>
      </c>
      <c r="DD254" s="157">
        <f t="shared" si="105"/>
        <v>0</v>
      </c>
    </row>
    <row r="255" spans="2:108" x14ac:dyDescent="0.2">
      <c r="B255" s="182" t="s">
        <v>410</v>
      </c>
      <c r="C255" s="556">
        <v>20</v>
      </c>
      <c r="D255" s="168">
        <v>300000</v>
      </c>
      <c r="E255" s="149">
        <v>0</v>
      </c>
      <c r="F255" s="149">
        <v>0</v>
      </c>
      <c r="G255" s="149">
        <v>0</v>
      </c>
      <c r="H255" s="168">
        <f t="shared" si="148"/>
        <v>402295.2491290964</v>
      </c>
      <c r="I255" s="610">
        <f t="shared" si="149"/>
        <v>0</v>
      </c>
      <c r="J255" s="610">
        <f t="shared" si="150"/>
        <v>0</v>
      </c>
      <c r="K255" s="610">
        <f t="shared" si="151"/>
        <v>0</v>
      </c>
      <c r="L255" s="610">
        <f t="shared" si="152"/>
        <v>0</v>
      </c>
      <c r="M255" s="610">
        <f t="shared" si="153"/>
        <v>0</v>
      </c>
      <c r="N255" s="610">
        <f t="shared" si="154"/>
        <v>0</v>
      </c>
      <c r="O255" s="610">
        <f t="shared" si="155"/>
        <v>0</v>
      </c>
      <c r="P255" s="610">
        <f t="shared" si="156"/>
        <v>0</v>
      </c>
      <c r="Q255" s="610">
        <f t="shared" si="157"/>
        <v>0</v>
      </c>
      <c r="R255" s="610">
        <f t="shared" si="158"/>
        <v>0</v>
      </c>
      <c r="S255" s="610">
        <f t="shared" si="159"/>
        <v>0</v>
      </c>
      <c r="T255" s="610">
        <f t="shared" si="160"/>
        <v>0</v>
      </c>
      <c r="U255" s="610">
        <f t="shared" si="161"/>
        <v>0</v>
      </c>
      <c r="V255" s="610">
        <f t="shared" si="162"/>
        <v>0</v>
      </c>
      <c r="W255" s="610">
        <f t="shared" si="163"/>
        <v>0</v>
      </c>
      <c r="X255" s="610">
        <f t="shared" si="164"/>
        <v>0</v>
      </c>
      <c r="Y255" s="610">
        <f t="shared" si="165"/>
        <v>0</v>
      </c>
      <c r="Z255" s="610">
        <f t="shared" si="166"/>
        <v>0</v>
      </c>
      <c r="AA255" s="610">
        <f t="shared" si="167"/>
        <v>0</v>
      </c>
      <c r="AB255" s="611">
        <f t="shared" si="168"/>
        <v>402295.2491290964</v>
      </c>
      <c r="AC255" s="160">
        <f t="shared" si="26"/>
        <v>0</v>
      </c>
      <c r="AD255" s="150">
        <f t="shared" si="27"/>
        <v>0</v>
      </c>
      <c r="AE255" s="150">
        <f t="shared" si="28"/>
        <v>0</v>
      </c>
      <c r="AF255" s="165">
        <f t="shared" si="29"/>
        <v>0</v>
      </c>
      <c r="AG255" s="168">
        <f t="shared" si="30"/>
        <v>0</v>
      </c>
      <c r="AH255" s="149">
        <f t="shared" si="31"/>
        <v>0</v>
      </c>
      <c r="AI255" s="149">
        <f t="shared" si="32"/>
        <v>0</v>
      </c>
      <c r="AJ255" s="171">
        <f t="shared" si="33"/>
        <v>0</v>
      </c>
      <c r="AK255" s="160">
        <f t="shared" si="34"/>
        <v>0</v>
      </c>
      <c r="AL255" s="150">
        <f t="shared" si="35"/>
        <v>0</v>
      </c>
      <c r="AM255" s="150">
        <f t="shared" si="36"/>
        <v>0</v>
      </c>
      <c r="AN255" s="165">
        <f t="shared" si="37"/>
        <v>0</v>
      </c>
      <c r="AO255" s="168">
        <f t="shared" si="38"/>
        <v>0</v>
      </c>
      <c r="AP255" s="149">
        <f t="shared" si="39"/>
        <v>0</v>
      </c>
      <c r="AQ255" s="149">
        <f t="shared" si="40"/>
        <v>0</v>
      </c>
      <c r="AR255" s="157">
        <f t="shared" si="41"/>
        <v>0</v>
      </c>
      <c r="AS255" s="160">
        <f t="shared" si="42"/>
        <v>0</v>
      </c>
      <c r="AT255" s="150">
        <f t="shared" si="43"/>
        <v>0</v>
      </c>
      <c r="AU255" s="150">
        <f t="shared" si="44"/>
        <v>0</v>
      </c>
      <c r="AV255" s="165">
        <f t="shared" si="45"/>
        <v>0</v>
      </c>
      <c r="AW255" s="168">
        <f t="shared" si="46"/>
        <v>0</v>
      </c>
      <c r="AX255" s="149">
        <f t="shared" si="47"/>
        <v>0</v>
      </c>
      <c r="AY255" s="149">
        <f t="shared" si="48"/>
        <v>0</v>
      </c>
      <c r="AZ255" s="157">
        <f t="shared" si="49"/>
        <v>0</v>
      </c>
      <c r="BA255" s="160">
        <f t="shared" si="50"/>
        <v>0</v>
      </c>
      <c r="BB255" s="150">
        <f t="shared" si="51"/>
        <v>0</v>
      </c>
      <c r="BC255" s="150">
        <f t="shared" si="52"/>
        <v>0</v>
      </c>
      <c r="BD255" s="176">
        <f t="shared" si="53"/>
        <v>0</v>
      </c>
      <c r="BE255" s="168">
        <f t="shared" si="54"/>
        <v>0</v>
      </c>
      <c r="BF255" s="149">
        <f t="shared" si="55"/>
        <v>0</v>
      </c>
      <c r="BG255" s="149">
        <f t="shared" si="56"/>
        <v>0</v>
      </c>
      <c r="BH255" s="171">
        <f t="shared" si="57"/>
        <v>0</v>
      </c>
      <c r="BI255" s="160">
        <f t="shared" si="58"/>
        <v>0</v>
      </c>
      <c r="BJ255" s="150">
        <f t="shared" si="59"/>
        <v>0</v>
      </c>
      <c r="BK255" s="150">
        <f t="shared" si="60"/>
        <v>0</v>
      </c>
      <c r="BL255" s="176">
        <f t="shared" si="61"/>
        <v>0</v>
      </c>
      <c r="BM255" s="168">
        <f t="shared" si="62"/>
        <v>0</v>
      </c>
      <c r="BN255" s="149">
        <f t="shared" si="63"/>
        <v>0</v>
      </c>
      <c r="BO255" s="149">
        <f t="shared" si="64"/>
        <v>0</v>
      </c>
      <c r="BP255" s="157">
        <f t="shared" si="65"/>
        <v>0</v>
      </c>
      <c r="BQ255" s="160">
        <f t="shared" si="66"/>
        <v>0</v>
      </c>
      <c r="BR255" s="150">
        <f t="shared" si="67"/>
        <v>0</v>
      </c>
      <c r="BS255" s="150">
        <f t="shared" si="68"/>
        <v>0</v>
      </c>
      <c r="BT255" s="176">
        <f t="shared" si="69"/>
        <v>0</v>
      </c>
      <c r="BU255" s="168">
        <f t="shared" si="70"/>
        <v>0</v>
      </c>
      <c r="BV255" s="149">
        <f t="shared" si="71"/>
        <v>0</v>
      </c>
      <c r="BW255" s="149">
        <f t="shared" si="72"/>
        <v>0</v>
      </c>
      <c r="BX255" s="157">
        <f t="shared" si="73"/>
        <v>0</v>
      </c>
      <c r="BY255" s="160">
        <f t="shared" si="74"/>
        <v>0</v>
      </c>
      <c r="BZ255" s="150">
        <f t="shared" si="75"/>
        <v>0</v>
      </c>
      <c r="CA255" s="150">
        <f t="shared" si="76"/>
        <v>0</v>
      </c>
      <c r="CB255" s="176">
        <f t="shared" si="77"/>
        <v>0</v>
      </c>
      <c r="CC255" s="168">
        <f t="shared" si="78"/>
        <v>0</v>
      </c>
      <c r="CD255" s="149">
        <f t="shared" si="79"/>
        <v>0</v>
      </c>
      <c r="CE255" s="149">
        <f t="shared" si="80"/>
        <v>0</v>
      </c>
      <c r="CF255" s="157">
        <f t="shared" si="81"/>
        <v>0</v>
      </c>
      <c r="CG255" s="160">
        <f t="shared" si="82"/>
        <v>0</v>
      </c>
      <c r="CH255" s="150">
        <f t="shared" si="83"/>
        <v>0</v>
      </c>
      <c r="CI255" s="150">
        <f t="shared" si="84"/>
        <v>0</v>
      </c>
      <c r="CJ255" s="176">
        <f t="shared" si="85"/>
        <v>0</v>
      </c>
      <c r="CK255" s="168">
        <f t="shared" si="86"/>
        <v>0</v>
      </c>
      <c r="CL255" s="149">
        <f t="shared" si="87"/>
        <v>0</v>
      </c>
      <c r="CM255" s="149">
        <f t="shared" si="88"/>
        <v>0</v>
      </c>
      <c r="CN255" s="157">
        <f t="shared" si="89"/>
        <v>0</v>
      </c>
      <c r="CO255" s="160">
        <f t="shared" si="90"/>
        <v>0</v>
      </c>
      <c r="CP255" s="150">
        <f t="shared" si="91"/>
        <v>0</v>
      </c>
      <c r="CQ255" s="150">
        <f t="shared" si="92"/>
        <v>0</v>
      </c>
      <c r="CR255" s="176">
        <f t="shared" si="93"/>
        <v>0</v>
      </c>
      <c r="CS255" s="168">
        <f t="shared" si="94"/>
        <v>0</v>
      </c>
      <c r="CT255" s="149">
        <f t="shared" si="95"/>
        <v>0</v>
      </c>
      <c r="CU255" s="149">
        <f t="shared" si="96"/>
        <v>0</v>
      </c>
      <c r="CV255" s="157">
        <f t="shared" si="97"/>
        <v>0</v>
      </c>
      <c r="CW255" s="160">
        <f t="shared" si="98"/>
        <v>0</v>
      </c>
      <c r="CX255" s="150">
        <f t="shared" si="99"/>
        <v>0</v>
      </c>
      <c r="CY255" s="150">
        <f t="shared" si="100"/>
        <v>0</v>
      </c>
      <c r="CZ255" s="176">
        <f t="shared" si="101"/>
        <v>0</v>
      </c>
      <c r="DA255" s="168">
        <f t="shared" si="102"/>
        <v>541833.370400824</v>
      </c>
      <c r="DB255" s="149">
        <f t="shared" si="103"/>
        <v>0</v>
      </c>
      <c r="DC255" s="149">
        <f t="shared" si="104"/>
        <v>0</v>
      </c>
      <c r="DD255" s="157">
        <f t="shared" si="105"/>
        <v>0</v>
      </c>
    </row>
    <row r="256" spans="2:108" x14ac:dyDescent="0.2">
      <c r="B256" s="182"/>
      <c r="C256" s="189"/>
      <c r="D256" s="168"/>
      <c r="E256" s="149"/>
      <c r="F256" s="149"/>
      <c r="G256" s="149"/>
      <c r="H256" s="168"/>
      <c r="I256" s="610"/>
      <c r="J256" s="610"/>
      <c r="K256" s="610"/>
      <c r="L256" s="610"/>
      <c r="M256" s="610"/>
      <c r="N256" s="610"/>
      <c r="O256" s="610"/>
      <c r="P256" s="610"/>
      <c r="Q256" s="610"/>
      <c r="R256" s="610"/>
      <c r="S256" s="610"/>
      <c r="T256" s="610"/>
      <c r="U256" s="610"/>
      <c r="V256" s="610"/>
      <c r="W256" s="610"/>
      <c r="X256" s="610"/>
      <c r="Y256" s="610"/>
      <c r="Z256" s="610"/>
      <c r="AA256" s="610"/>
      <c r="AB256" s="611"/>
      <c r="AC256" s="160"/>
      <c r="AD256" s="150"/>
      <c r="AE256" s="150"/>
      <c r="AF256" s="165"/>
      <c r="AG256" s="168"/>
      <c r="AH256" s="149"/>
      <c r="AI256" s="149"/>
      <c r="AJ256" s="171"/>
      <c r="AK256" s="160"/>
      <c r="AL256" s="150"/>
      <c r="AM256" s="150"/>
      <c r="AN256" s="165"/>
      <c r="AO256" s="168"/>
      <c r="AP256" s="149"/>
      <c r="AQ256" s="149"/>
      <c r="AR256" s="157"/>
      <c r="AS256" s="160"/>
      <c r="AT256" s="150"/>
      <c r="AU256" s="150"/>
      <c r="AV256" s="165"/>
      <c r="AW256" s="168"/>
      <c r="AX256" s="149"/>
      <c r="AY256" s="149"/>
      <c r="AZ256" s="157"/>
      <c r="BA256" s="160"/>
      <c r="BB256" s="150"/>
      <c r="BC256" s="150"/>
      <c r="BD256" s="176"/>
      <c r="BE256" s="168"/>
      <c r="BF256" s="149"/>
      <c r="BG256" s="149"/>
      <c r="BH256" s="171"/>
      <c r="BI256" s="160"/>
      <c r="BJ256" s="150"/>
      <c r="BK256" s="150"/>
      <c r="BL256" s="176"/>
      <c r="BM256" s="168"/>
      <c r="BN256" s="149"/>
      <c r="BO256" s="149"/>
      <c r="BP256" s="157"/>
      <c r="BQ256" s="160"/>
      <c r="BR256" s="150"/>
      <c r="BS256" s="150"/>
      <c r="BT256" s="176"/>
      <c r="BU256" s="168"/>
      <c r="BV256" s="149"/>
      <c r="BW256" s="149"/>
      <c r="BX256" s="157"/>
      <c r="BY256" s="160"/>
      <c r="BZ256" s="150"/>
      <c r="CA256" s="150"/>
      <c r="CB256" s="176"/>
      <c r="CC256" s="168"/>
      <c r="CD256" s="149"/>
      <c r="CE256" s="149"/>
      <c r="CF256" s="157"/>
      <c r="CG256" s="160"/>
      <c r="CH256" s="150"/>
      <c r="CI256" s="150"/>
      <c r="CJ256" s="176"/>
      <c r="CK256" s="168"/>
      <c r="CL256" s="149"/>
      <c r="CM256" s="149"/>
      <c r="CN256" s="157"/>
      <c r="CO256" s="160"/>
      <c r="CP256" s="150"/>
      <c r="CQ256" s="150"/>
      <c r="CR256" s="176"/>
      <c r="CS256" s="168"/>
      <c r="CT256" s="149"/>
      <c r="CU256" s="149"/>
      <c r="CV256" s="157"/>
      <c r="CW256" s="160"/>
      <c r="CX256" s="150"/>
      <c r="CY256" s="150"/>
      <c r="CZ256" s="176"/>
      <c r="DA256" s="168"/>
      <c r="DB256" s="149"/>
      <c r="DC256" s="149"/>
      <c r="DD256" s="157"/>
    </row>
    <row r="257" spans="2:108" x14ac:dyDescent="0.2">
      <c r="B257" s="188" t="str">
        <f>Summary!B53</f>
        <v>Program Management</v>
      </c>
      <c r="C257" s="189"/>
      <c r="D257" s="168"/>
      <c r="E257" s="149"/>
      <c r="F257" s="149"/>
      <c r="G257" s="149"/>
      <c r="H257" s="168"/>
      <c r="I257" s="610"/>
      <c r="J257" s="610"/>
      <c r="K257" s="610"/>
      <c r="L257" s="610"/>
      <c r="M257" s="610"/>
      <c r="N257" s="610"/>
      <c r="O257" s="610"/>
      <c r="P257" s="610"/>
      <c r="Q257" s="610"/>
      <c r="R257" s="610"/>
      <c r="S257" s="610"/>
      <c r="T257" s="610"/>
      <c r="U257" s="610"/>
      <c r="V257" s="610"/>
      <c r="W257" s="610"/>
      <c r="X257" s="610"/>
      <c r="Y257" s="610"/>
      <c r="Z257" s="610"/>
      <c r="AA257" s="610"/>
      <c r="AB257" s="611"/>
      <c r="AC257" s="160"/>
      <c r="AD257" s="150"/>
      <c r="AE257" s="150"/>
      <c r="AF257" s="165"/>
      <c r="AG257" s="168"/>
      <c r="AH257" s="149"/>
      <c r="AI257" s="149"/>
      <c r="AJ257" s="171"/>
      <c r="AK257" s="160"/>
      <c r="AL257" s="150"/>
      <c r="AM257" s="150"/>
      <c r="AN257" s="165"/>
      <c r="AO257" s="168"/>
      <c r="AP257" s="149"/>
      <c r="AQ257" s="149"/>
      <c r="AR257" s="157"/>
      <c r="AS257" s="160"/>
      <c r="AT257" s="150"/>
      <c r="AU257" s="150"/>
      <c r="AV257" s="165"/>
      <c r="AW257" s="168"/>
      <c r="AX257" s="149"/>
      <c r="AY257" s="149"/>
      <c r="AZ257" s="157"/>
      <c r="BA257" s="160"/>
      <c r="BB257" s="150"/>
      <c r="BC257" s="150"/>
      <c r="BD257" s="176"/>
      <c r="BE257" s="168"/>
      <c r="BF257" s="149"/>
      <c r="BG257" s="149"/>
      <c r="BH257" s="171"/>
      <c r="BI257" s="160"/>
      <c r="BJ257" s="150"/>
      <c r="BK257" s="150"/>
      <c r="BL257" s="176"/>
      <c r="BM257" s="168"/>
      <c r="BN257" s="149"/>
      <c r="BO257" s="149"/>
      <c r="BP257" s="157"/>
      <c r="BQ257" s="160"/>
      <c r="BR257" s="150"/>
      <c r="BS257" s="150"/>
      <c r="BT257" s="176"/>
      <c r="BU257" s="168"/>
      <c r="BV257" s="149"/>
      <c r="BW257" s="149"/>
      <c r="BX257" s="157"/>
      <c r="BY257" s="160"/>
      <c r="BZ257" s="150"/>
      <c r="CA257" s="150"/>
      <c r="CB257" s="176"/>
      <c r="CC257" s="168"/>
      <c r="CD257" s="149"/>
      <c r="CE257" s="149"/>
      <c r="CF257" s="157"/>
      <c r="CG257" s="160"/>
      <c r="CH257" s="150"/>
      <c r="CI257" s="150"/>
      <c r="CJ257" s="176"/>
      <c r="CK257" s="168"/>
      <c r="CL257" s="149"/>
      <c r="CM257" s="149"/>
      <c r="CN257" s="157"/>
      <c r="CO257" s="160"/>
      <c r="CP257" s="150"/>
      <c r="CQ257" s="150"/>
      <c r="CR257" s="176"/>
      <c r="CS257" s="168"/>
      <c r="CT257" s="149"/>
      <c r="CU257" s="149"/>
      <c r="CV257" s="157"/>
      <c r="CW257" s="160"/>
      <c r="CX257" s="150"/>
      <c r="CY257" s="150"/>
      <c r="CZ257" s="176"/>
      <c r="DA257" s="168"/>
      <c r="DB257" s="149"/>
      <c r="DC257" s="149"/>
      <c r="DD257" s="157"/>
    </row>
    <row r="258" spans="2:108" x14ac:dyDescent="0.2">
      <c r="B258" s="182" t="s">
        <v>290</v>
      </c>
      <c r="C258" s="556">
        <v>1</v>
      </c>
      <c r="D258" s="168">
        <f>'5-Year CIP'!L31</f>
        <v>199600</v>
      </c>
      <c r="E258" s="149">
        <v>0</v>
      </c>
      <c r="F258" s="149">
        <v>0</v>
      </c>
      <c r="G258" s="149">
        <v>0</v>
      </c>
      <c r="H258" s="168">
        <f t="shared" ref="H258:H267" si="169">SUM(I258:AB258)</f>
        <v>196650.24630541872</v>
      </c>
      <c r="I258" s="610">
        <f t="shared" ref="I258:I267" si="170">-PV(InterestRate,I$8,,(SUM(AC258:AF258)))</f>
        <v>196650.24630541872</v>
      </c>
      <c r="J258" s="610">
        <f t="shared" ref="J258:J267" si="171">-PV(InterestRate,J$8,,(SUM(AG258:AJ258)))</f>
        <v>0</v>
      </c>
      <c r="K258" s="610">
        <f t="shared" ref="K258:K267" si="172">-PV(InterestRate,K$8,,(SUM(AK258:AN258)))</f>
        <v>0</v>
      </c>
      <c r="L258" s="610">
        <f t="shared" ref="L258:L267" si="173">-PV(InterestRate,L$8,,(SUM(AO258:AR258)))</f>
        <v>0</v>
      </c>
      <c r="M258" s="610">
        <f t="shared" ref="M258:M267" si="174">-PV(InterestRate,M$8,,(SUM(AS258:AV258)))</f>
        <v>0</v>
      </c>
      <c r="N258" s="610">
        <f t="shared" ref="N258:N267" si="175">-PV(InterestRate,N$8,,(SUM(AW258:AZ258)))</f>
        <v>0</v>
      </c>
      <c r="O258" s="610">
        <f t="shared" ref="O258:O267" si="176">-PV(InterestRate,O$8,,(SUM(BA258:BD258)))</f>
        <v>0</v>
      </c>
      <c r="P258" s="610">
        <f t="shared" ref="P258:P267" si="177">-PV(InterestRate,P$8,,(SUM(BE258:BH258)))</f>
        <v>0</v>
      </c>
      <c r="Q258" s="610">
        <f t="shared" ref="Q258:Q267" si="178">-PV(InterestRate,Q$8,,(SUM(BI258:BL258)))</f>
        <v>0</v>
      </c>
      <c r="R258" s="610">
        <f t="shared" ref="R258:R267" si="179">-PV(InterestRate,R$8,,(SUM(BM258:BP258)))</f>
        <v>0</v>
      </c>
      <c r="S258" s="610">
        <f t="shared" ref="S258:S267" si="180">-PV(InterestRate,S$8,,(SUM(BQ258:BT258)))</f>
        <v>0</v>
      </c>
      <c r="T258" s="610">
        <f t="shared" ref="T258:T267" si="181">-PV(InterestRate,T$8,,(SUM(BU258:BX258)))</f>
        <v>0</v>
      </c>
      <c r="U258" s="610">
        <f t="shared" ref="U258:U267" si="182">-PV(InterestRate,U$8,,(SUM(BY258:CB258)))</f>
        <v>0</v>
      </c>
      <c r="V258" s="610">
        <f t="shared" ref="V258:V267" si="183">-PV(InterestRate,V$8,,(SUM(CC258:CF258)))</f>
        <v>0</v>
      </c>
      <c r="W258" s="610">
        <f t="shared" ref="W258:W267" si="184">-PV(InterestRate,W$8,,(SUM(CG258:CJ258)))</f>
        <v>0</v>
      </c>
      <c r="X258" s="610">
        <f t="shared" ref="X258:X267" si="185">-PV(InterestRate,X$8,,(SUM(CK258:CN258)))</f>
        <v>0</v>
      </c>
      <c r="Y258" s="610">
        <f t="shared" ref="Y258:Y267" si="186">-PV(InterestRate,Y$8,,(SUM(CO258:CR258)))</f>
        <v>0</v>
      </c>
      <c r="Z258" s="610">
        <f t="shared" ref="Z258:Z267" si="187">-PV(InterestRate,Z$8,,(SUM(CS258:CV258)))</f>
        <v>0</v>
      </c>
      <c r="AA258" s="610">
        <f t="shared" ref="AA258:AA267" si="188">-PV(InterestRate,AA$8,,(SUM(CW258:CZ258)))</f>
        <v>0</v>
      </c>
      <c r="AB258" s="611">
        <f t="shared" ref="AB258:AB267" si="189">-PV(InterestRate,AB$8,,(SUM(DA258:DD258)))</f>
        <v>0</v>
      </c>
      <c r="AC258" s="160">
        <f t="shared" ref="AC258:AC277" si="190">IF($C258&gt;0,(IF($C258=$AC$7,$D258,0)),0)</f>
        <v>199600</v>
      </c>
      <c r="AD258" s="150">
        <f t="shared" ref="AD258:AD277" si="191">IF($C258&gt;0,(IF($AC$7&gt;=$C258+1,$E258,0)),0)</f>
        <v>0</v>
      </c>
      <c r="AE258" s="150">
        <f t="shared" ref="AE258:AE277" si="192">IF($C258&gt;0,(IF($C258=$AC$7,$F258,0)),0)</f>
        <v>0</v>
      </c>
      <c r="AF258" s="165">
        <f t="shared" ref="AF258:AF277" si="193">IF($C258&gt;0,(IF($AC$7&gt;=$C258+1,$G258,0)),0)</f>
        <v>0</v>
      </c>
      <c r="AG258" s="168">
        <f t="shared" ref="AG258:AG277" si="194">IF($C258&gt;0,(IF($C258=$AG$7,(-FV(InflationRate,$AG$7,,$D258)),0)),0)</f>
        <v>0</v>
      </c>
      <c r="AH258" s="149">
        <f t="shared" ref="AH258:AH277" si="195">IF($C258&gt;0,(IF($AG$7&gt;=$C258+1, (-FV(InflationRate,$AG$7,,$E258)), 0)),0)</f>
        <v>0</v>
      </c>
      <c r="AI258" s="149">
        <f t="shared" ref="AI258:AI277" si="196">IF($C258&gt;0,(IF($AG$7&gt;=$C258+1, (-FV(InflationRate,$AG$7,,$F258)), 0)),0)</f>
        <v>0</v>
      </c>
      <c r="AJ258" s="171">
        <f t="shared" ref="AJ258:AJ277" si="197">IF($C258&gt;0,(IF($AG$7&gt;=$C258+1, (-FV(InflationRate,$AG$7,,$G258)), 0)),0)</f>
        <v>0</v>
      </c>
      <c r="AK258" s="160">
        <f t="shared" ref="AK258:AK277" si="198">IF($C258&gt;0,(IF($C258=$AK$7,(-FV(InflationRate,$AK$7,,$D258)),0)),0)</f>
        <v>0</v>
      </c>
      <c r="AL258" s="150">
        <f t="shared" ref="AL258:AL277" si="199">IF($C258&gt;0,(IF($AK$7&gt;=$C258+1, (-FV(InflationRate,$AK$7,,$E258)), 0)),0)</f>
        <v>0</v>
      </c>
      <c r="AM258" s="150">
        <f t="shared" ref="AM258:AM277" si="200">IF($C258&gt;0,(IF($AK$7&gt;=$C258+1, (-FV(InflationRate,$AK$7,,$F258)), 0)),0)</f>
        <v>0</v>
      </c>
      <c r="AN258" s="165">
        <f t="shared" ref="AN258:AN277" si="201">IF($C258&gt;0,(IF($AK$7&gt;=$C258+1, (-FV(InflationRate,$AK$7,,$G258)), 0)),0)</f>
        <v>0</v>
      </c>
      <c r="AO258" s="168">
        <f t="shared" ref="AO258:AO277" si="202">IF($C258&gt;0,(IF($C258=$AO$7,(-FV(InflationRate,$AO$7,,$D258)),0)),0)</f>
        <v>0</v>
      </c>
      <c r="AP258" s="149">
        <f t="shared" ref="AP258:AP277" si="203">IF($C258&gt;0,(IF($AO$7&gt;=$C258+1, (-FV(InflationRate,$AO$7,,$E258)), 0)),0)</f>
        <v>0</v>
      </c>
      <c r="AQ258" s="149">
        <f t="shared" ref="AQ258:AQ277" si="204">IF($C258&gt;0,(IF($AO$7&gt;=$C258+1, (-FV(InflationRate,$AO$7,,$F258)), 0)),0)</f>
        <v>0</v>
      </c>
      <c r="AR258" s="157">
        <f t="shared" ref="AR258:AR277" si="205">IF($C258&gt;0,(IF($AO$7&gt;=$C258+1, (-FV(InflationRate,$AO$7,,$G258)), 0)),0)</f>
        <v>0</v>
      </c>
      <c r="AS258" s="160">
        <f t="shared" ref="AS258:AS277" si="206">IF($C258&gt;0,(IF($C258=$AS$7,(-FV(InflationRate,$AS$7,,$D258)),0)),0)</f>
        <v>0</v>
      </c>
      <c r="AT258" s="150">
        <f t="shared" ref="AT258:AT277" si="207">IF($C258&gt;0,(IF($AS$7&gt;=$C258+1, (-FV(InflationRate,$AS$7,,$E258)), 0)),0)</f>
        <v>0</v>
      </c>
      <c r="AU258" s="150">
        <f t="shared" ref="AU258:AU277" si="208">IF($C258&gt;0,(IF($AS$7&gt;=$C258+1, (-FV(InflationRate,$AS$7,,$F258)), 0)),0)</f>
        <v>0</v>
      </c>
      <c r="AV258" s="165">
        <f t="shared" ref="AV258:AV277" si="209">IF($C258&gt;0,(IF($AS$7&gt;=$C258+1, (-FV(InflationRate,$AS$7,,$G258)), 0)),0)</f>
        <v>0</v>
      </c>
      <c r="AW258" s="168">
        <f t="shared" ref="AW258:AW277" si="210">IF($C258&gt;0,(IF($C258=$AW$7,(-FV(InflationRate,$AW$7,,$D258)),0)),0)</f>
        <v>0</v>
      </c>
      <c r="AX258" s="149">
        <f t="shared" ref="AX258:AX277" si="211">IF($C258&gt;0,(IF($AW$7&gt;=$C258+1, (-FV(InflationRate,$AW$7,,$E258)), 0)),0)</f>
        <v>0</v>
      </c>
      <c r="AY258" s="149">
        <f t="shared" ref="AY258:AY277" si="212">IF($C258&gt;0,(IF($AW$7&gt;=$C258+1, (-FV(InflationRate,$AW$7,,$F258)), 0)),0)</f>
        <v>0</v>
      </c>
      <c r="AZ258" s="157">
        <f t="shared" ref="AZ258:AZ277" si="213">IF($C258&gt;0,(IF($AW$7&gt;=$C258+1, (-FV(InflationRate,$AW$7,,$G258)), 0)),0)</f>
        <v>0</v>
      </c>
      <c r="BA258" s="160">
        <f t="shared" ref="BA258:BA277" si="214">IF($C258&gt;0,(IF($C258=$BA$7,(-FV(InflationRate,$BA$7,,$D258)),0)),0)</f>
        <v>0</v>
      </c>
      <c r="BB258" s="150">
        <f t="shared" ref="BB258:BB277" si="215">IF($C258&gt;0,(IF($BA$7&gt;=$C258+1, (-FV(InflationRate,$BA$7,,$E258)), 0)),0)</f>
        <v>0</v>
      </c>
      <c r="BC258" s="150">
        <f t="shared" ref="BC258:BC277" si="216">IF($C258&gt;0,(IF($BA$7&gt;=$C258+1, (-FV(InflationRate,$BA$7,,$F258)), 0)),0)</f>
        <v>0</v>
      </c>
      <c r="BD258" s="176">
        <f t="shared" ref="BD258:BD277" si="217">IF($C258&gt;0,(IF($BA$7&gt;=$C258+1, (-FV(InflationRate,$BA$7,,$G258)), 0)),0)</f>
        <v>0</v>
      </c>
      <c r="BE258" s="168">
        <f t="shared" ref="BE258:BE277" si="218">IF($C258&gt;0,(IF($C258=$BE$7,(-FV(InflationRate,$BE$7,,$D258)),0)),0)</f>
        <v>0</v>
      </c>
      <c r="BF258" s="149">
        <f t="shared" ref="BF258:BF277" si="219">IF($C258&gt;0,(IF($BE$7&gt;=$C258+1, (-FV(InflationRate,$BE$7,,$E258)), 0)),0)</f>
        <v>0</v>
      </c>
      <c r="BG258" s="149">
        <f t="shared" ref="BG258:BG277" si="220">IF($C258&gt;0,(IF($BE$7&gt;=$C258+1, (-FV(InflationRate,$BE$7,,$F258)), 0)),0)</f>
        <v>0</v>
      </c>
      <c r="BH258" s="171">
        <f t="shared" ref="BH258:BH277" si="221">IF($C258&gt;0,(IF($BE$7&gt;=$C258+1, (-FV(InflationRate,$BE$7,,$G258)), 0)),0)</f>
        <v>0</v>
      </c>
      <c r="BI258" s="160">
        <f t="shared" ref="BI258:BI277" si="222">IF($C258&gt;0,(IF($C258=$BI$7,(-FV(InflationRate,$BI$7,,$D258)),0)),0)</f>
        <v>0</v>
      </c>
      <c r="BJ258" s="150">
        <f t="shared" ref="BJ258:BJ277" si="223">IF($C258&gt;0,(IF($BI$7&gt;=$C258+1, (-FV(InflationRate,$BI$7,,$E258)), 0)),0)</f>
        <v>0</v>
      </c>
      <c r="BK258" s="150">
        <f t="shared" ref="BK258:BK277" si="224">IF($C258&gt;0,(IF($BI$7&gt;=$C258+1, (-FV(InflationRate,$BI$7,,$F258)), 0)),0)</f>
        <v>0</v>
      </c>
      <c r="BL258" s="176">
        <f t="shared" ref="BL258:BL277" si="225">IF($C258&gt;0,(IF($BI$7&gt;=$C258+1, (-FV(InflationRate,$BI$7,,$G258)), 0)),0)</f>
        <v>0</v>
      </c>
      <c r="BM258" s="168">
        <f t="shared" ref="BM258:BM277" si="226">IF($C258&gt;0,(IF($C258=$BM$7,(-FV(InflationRate,$BM$7,,$D258)),0)),0)</f>
        <v>0</v>
      </c>
      <c r="BN258" s="149">
        <f t="shared" ref="BN258:BN277" si="227">IF($C258&gt;0,(IF($BM$7&gt;=$C258+1, (-FV(InflationRate,$BM$7,,$E258)), 0)),0)</f>
        <v>0</v>
      </c>
      <c r="BO258" s="149">
        <f t="shared" ref="BO258:BO277" si="228">IF($C258&gt;0,(IF($BM$7&gt;=$C258+1, (-FV(InflationRate,$BM$7,,$F258)), 0)),0)</f>
        <v>0</v>
      </c>
      <c r="BP258" s="157">
        <f t="shared" ref="BP258:BP277" si="229">IF($C258&gt;0,(IF($BM$7&gt;=$C258+1, (-FV(InflationRate,$BM$7,,$G258)), 0)),0)</f>
        <v>0</v>
      </c>
      <c r="BQ258" s="160">
        <f t="shared" ref="BQ258:BQ277" si="230">IF($C258&gt;0,(IF($C258=$BQ$7,(-FV(InflationRate,$BQ$7,,$D258)),0)),0)</f>
        <v>0</v>
      </c>
      <c r="BR258" s="150">
        <f t="shared" ref="BR258:BR277" si="231">IF($C258&gt;0,(IF($BQ$7&gt;=$C258+1, (-FV(InflationRate,$BQ$7,,$E258)), 0)),0)</f>
        <v>0</v>
      </c>
      <c r="BS258" s="150">
        <f t="shared" ref="BS258:BS277" si="232">IF($C258&gt;0,(IF($BQ$7&gt;=$C258+1, (-FV(InflationRate,$BQ$7,,$F258)), 0)),0)</f>
        <v>0</v>
      </c>
      <c r="BT258" s="176">
        <f t="shared" ref="BT258:BT277" si="233">IF($C258&gt;0,(IF($BQ$7&gt;=$C258+1, (-FV(InflationRate,$BQ$7,,$G258)), 0)),0)</f>
        <v>0</v>
      </c>
      <c r="BU258" s="168">
        <f t="shared" ref="BU258:BU277" si="234">IF($C258&gt;0,(IF($C258=$BU$7,(-FV(InflationRate,$BU$7,,$D258)),0)),0)</f>
        <v>0</v>
      </c>
      <c r="BV258" s="149">
        <f t="shared" ref="BV258:BV277" si="235">IF($C258&gt;0,(IF($BU$7&gt;=$C258+1, (-FV(InflationRate,$BU$7,,$E258)), 0)),0)</f>
        <v>0</v>
      </c>
      <c r="BW258" s="149">
        <f t="shared" ref="BW258:BW277" si="236">IF($C258&gt;0,(IF($BU$7&gt;=$C258+1, (-FV(InflationRate,$BU$7,,$F258)), 0)),0)</f>
        <v>0</v>
      </c>
      <c r="BX258" s="157">
        <f t="shared" ref="BX258:BX277" si="237">IF($C258&gt;0,(IF($BU$7&gt;=$C258+1, (-FV(InflationRate,$BU$7,,$G258)), 0)),0)</f>
        <v>0</v>
      </c>
      <c r="BY258" s="160">
        <f t="shared" ref="BY258:BY277" si="238">IF($C258&gt;0,(IF($C258=$BY$7,(-FV(InflationRate,$BY$7,,$D258)),0)),0)</f>
        <v>0</v>
      </c>
      <c r="BZ258" s="150">
        <f t="shared" ref="BZ258:BZ277" si="239">IF($C258&gt;0,(IF($BY$7&gt;=$C258+1, (-FV(InflationRate,$BY$7,,$E258)), 0)),0)</f>
        <v>0</v>
      </c>
      <c r="CA258" s="150">
        <f t="shared" ref="CA258:CA277" si="240">IF($C258&gt;0,(IF($BY$7&gt;=$C258+1, (-FV(InflationRate,$BY$7,,$F258)), 0)),0)</f>
        <v>0</v>
      </c>
      <c r="CB258" s="176">
        <f t="shared" ref="CB258:CB277" si="241">IF($C258&gt;0,(IF($BY$7&gt;=$C258+1, (-FV(InflationRate,$BY$7,,$G258)), 0)),0)</f>
        <v>0</v>
      </c>
      <c r="CC258" s="168">
        <f t="shared" ref="CC258:CC277" si="242">IF($C258&gt;0,(IF($C258=$CC$7,(-FV(InflationRate,$CC$7,,$D258)),0)),0)</f>
        <v>0</v>
      </c>
      <c r="CD258" s="149">
        <f t="shared" ref="CD258:CD277" si="243">IF($C258&gt;0,(IF($CC$7&gt;=$C258+1, (-FV(InflationRate,$CC$7,,$E258)), 0)),0)</f>
        <v>0</v>
      </c>
      <c r="CE258" s="149">
        <f t="shared" ref="CE258:CE277" si="244">IF($C258&gt;0,(IF($CC$7&gt;=$C258+1, (-FV(InflationRate,$CC$7,,$F258)), 0)),0)</f>
        <v>0</v>
      </c>
      <c r="CF258" s="157">
        <f t="shared" ref="CF258:CF277" si="245">IF($C258&gt;0,(IF($CC$7&gt;=$C258+1, (-FV(InflationRate,$CC$7,,$G258)), 0)),0)</f>
        <v>0</v>
      </c>
      <c r="CG258" s="160">
        <f t="shared" ref="CG258:CG277" si="246">IF($C258&gt;0,(IF($C258=$CG$7,(-FV(InflationRate,$CG$7,,$D258)),0)),0)</f>
        <v>0</v>
      </c>
      <c r="CH258" s="150">
        <f t="shared" ref="CH258:CH277" si="247">IF($C258&gt;0,(IF($CG$7&gt;=$C258+1, (-FV(InflationRate,$CG$7,,$E258)), 0)),0)</f>
        <v>0</v>
      </c>
      <c r="CI258" s="150">
        <f t="shared" ref="CI258:CI277" si="248">IF($C258&gt;0,(IF($CG$7&gt;=$C258+1, (-FV(InflationRate,$CG$7,,$F258)), 0)),0)</f>
        <v>0</v>
      </c>
      <c r="CJ258" s="176">
        <f t="shared" ref="CJ258:CJ277" si="249">IF($C258&gt;0,(IF($CG$7&gt;=$C258+1, (-FV(InflationRate,$CG$7,,$G258)), 0)),0)</f>
        <v>0</v>
      </c>
      <c r="CK258" s="168">
        <f t="shared" ref="CK258:CK277" si="250">IF($C258&gt;0,(IF($C258=$CK$7,(-FV(InflationRate,$CK$7,,$D258)),0)),0)</f>
        <v>0</v>
      </c>
      <c r="CL258" s="149">
        <f t="shared" ref="CL258:CL277" si="251">IF($C258&gt;0,(IF($CK$7&gt;=$C258+1, (-FV(InflationRate,$CK$7,,$E258)), 0)),0)</f>
        <v>0</v>
      </c>
      <c r="CM258" s="149">
        <f t="shared" ref="CM258:CM277" si="252">IF($C258&gt;0,(IF($CK$7&gt;=$C258+1, (-FV(InflationRate,$CK$7,,$F258)), 0)),0)</f>
        <v>0</v>
      </c>
      <c r="CN258" s="157">
        <f t="shared" ref="CN258:CN277" si="253">IF($C258&gt;0,(IF($CK$7&gt;=$C258+1, (-FV(InflationRate,$CK$7,,$G258)), 0)),0)</f>
        <v>0</v>
      </c>
      <c r="CO258" s="160">
        <f t="shared" ref="CO258:CO277" si="254">IF($C258&gt;0,(IF($C258=$CO$7,(-FV(InflationRate,$CO$7,,$D258)),0)),0)</f>
        <v>0</v>
      </c>
      <c r="CP258" s="150">
        <f t="shared" ref="CP258:CP277" si="255">IF($C258&gt;0,(IF($CO$7&gt;=$C258+1, (-FV(InflationRate,$CO$7,,$E258)), 0)),0)</f>
        <v>0</v>
      </c>
      <c r="CQ258" s="150">
        <f t="shared" ref="CQ258:CQ277" si="256">IF($C258&gt;0,(IF($CO$7&gt;=$C258+1, (-FV(InflationRate,$CO$7,,$F258)), 0)),0)</f>
        <v>0</v>
      </c>
      <c r="CR258" s="176">
        <f t="shared" ref="CR258:CR277" si="257">IF($C258&gt;0,(IF($CO$7&gt;=$C258+1, (-FV(InflationRate,$CO$7,,$G258)), 0)),0)</f>
        <v>0</v>
      </c>
      <c r="CS258" s="168">
        <f t="shared" ref="CS258:CS277" si="258">IF($C258&gt;0,(IF($C258=$CS$7,(-FV(InflationRate,$CS$7,,$D258)),0)),0)</f>
        <v>0</v>
      </c>
      <c r="CT258" s="149">
        <f t="shared" ref="CT258:CT277" si="259">IF($C258&gt;0,(IF($CS$7&gt;=$C258+1, (-FV(InflationRate,$CS$7,,$E258)), 0)),0)</f>
        <v>0</v>
      </c>
      <c r="CU258" s="149">
        <f t="shared" ref="CU258:CU277" si="260">IF($C258&gt;0,(IF($CS$7&gt;=$C258+1, (-FV(InflationRate,$CS$7,,$F258)), 0)),0)</f>
        <v>0</v>
      </c>
      <c r="CV258" s="157">
        <f t="shared" ref="CV258:CV277" si="261">IF($C258&gt;0,(IF($CS$7&gt;=$C258+1, (-FV(InflationRate,$CS$7,,$G258)), 0)),0)</f>
        <v>0</v>
      </c>
      <c r="CW258" s="160">
        <f t="shared" ref="CW258:CW277" si="262">IF($C258&gt;0,(IF($C258=$CW$7,(-FV(InflationRate,$CW$7,,$D258)),0)),0)</f>
        <v>0</v>
      </c>
      <c r="CX258" s="150">
        <f t="shared" ref="CX258:CX277" si="263">IF($C258&gt;0,(IF($CW$7&gt;=$C258+1, (-FV(InflationRate,$CW$7,,$E258)), 0)),0)</f>
        <v>0</v>
      </c>
      <c r="CY258" s="150">
        <f t="shared" ref="CY258:CY277" si="264">IF($C258&gt;0,(IF($CW$7&gt;=$C258+1, (-FV(InflationRate,$CW$7,,$F258)), 0)),0)</f>
        <v>0</v>
      </c>
      <c r="CZ258" s="176">
        <f t="shared" ref="CZ258:CZ277" si="265">IF($C258&gt;0,(IF($CW$7&gt;=$C258+1, (-FV(InflationRate,$CW$7,,$G258)), 0)),0)</f>
        <v>0</v>
      </c>
      <c r="DA258" s="168">
        <f t="shared" ref="DA258:DA277" si="266">IF($C258&gt;0,(IF($C258=$DA$7,(-FV(InflationRate,$DA$7,,$D258)),0)),0)</f>
        <v>0</v>
      </c>
      <c r="DB258" s="149">
        <f t="shared" ref="DB258:DB277" si="267">IF($C258&gt;0,(IF($DA$7&gt;=$C258+1, (-FV(InflationRate,$DA$7,,$E258)), 0)),0)</f>
        <v>0</v>
      </c>
      <c r="DC258" s="149">
        <f t="shared" ref="DC258:DC277" si="268">IF($C258&gt;0,(IF($DA$7&gt;=$C258+1, (-FV(InflationRate,$DA$7,,$F258)), 0)),0)</f>
        <v>0</v>
      </c>
      <c r="DD258" s="157">
        <f t="shared" ref="DD258:DD277" si="269">IF($C258&gt;0,(IF($DA$7&gt;=$C258+1, (-FV(InflationRate,$DA$7,,$G258)), 0)),0)</f>
        <v>0</v>
      </c>
    </row>
    <row r="259" spans="2:108" x14ac:dyDescent="0.2">
      <c r="B259" s="182" t="s">
        <v>291</v>
      </c>
      <c r="C259" s="556">
        <v>2</v>
      </c>
      <c r="D259" s="168">
        <f>'5-Year CIP'!Q31</f>
        <v>230300</v>
      </c>
      <c r="E259" s="149">
        <v>0</v>
      </c>
      <c r="F259" s="149">
        <v>0</v>
      </c>
      <c r="G259" s="149">
        <v>0</v>
      </c>
      <c r="H259" s="168">
        <f t="shared" si="169"/>
        <v>237157.19381688471</v>
      </c>
      <c r="I259" s="610">
        <f t="shared" si="170"/>
        <v>0</v>
      </c>
      <c r="J259" s="610">
        <f t="shared" si="171"/>
        <v>237157.19381688471</v>
      </c>
      <c r="K259" s="610">
        <f t="shared" si="172"/>
        <v>0</v>
      </c>
      <c r="L259" s="610">
        <f t="shared" si="173"/>
        <v>0</v>
      </c>
      <c r="M259" s="610">
        <f t="shared" si="174"/>
        <v>0</v>
      </c>
      <c r="N259" s="610">
        <f t="shared" si="175"/>
        <v>0</v>
      </c>
      <c r="O259" s="610">
        <f t="shared" si="176"/>
        <v>0</v>
      </c>
      <c r="P259" s="610">
        <f t="shared" si="177"/>
        <v>0</v>
      </c>
      <c r="Q259" s="610">
        <f t="shared" si="178"/>
        <v>0</v>
      </c>
      <c r="R259" s="610">
        <f t="shared" si="179"/>
        <v>0</v>
      </c>
      <c r="S259" s="610">
        <f t="shared" si="180"/>
        <v>0</v>
      </c>
      <c r="T259" s="610">
        <f t="shared" si="181"/>
        <v>0</v>
      </c>
      <c r="U259" s="610">
        <f t="shared" si="182"/>
        <v>0</v>
      </c>
      <c r="V259" s="610">
        <f t="shared" si="183"/>
        <v>0</v>
      </c>
      <c r="W259" s="610">
        <f t="shared" si="184"/>
        <v>0</v>
      </c>
      <c r="X259" s="610">
        <f t="shared" si="185"/>
        <v>0</v>
      </c>
      <c r="Y259" s="610">
        <f t="shared" si="186"/>
        <v>0</v>
      </c>
      <c r="Z259" s="610">
        <f t="shared" si="187"/>
        <v>0</v>
      </c>
      <c r="AA259" s="610">
        <f t="shared" si="188"/>
        <v>0</v>
      </c>
      <c r="AB259" s="611">
        <f t="shared" si="189"/>
        <v>0</v>
      </c>
      <c r="AC259" s="160">
        <f t="shared" si="190"/>
        <v>0</v>
      </c>
      <c r="AD259" s="150">
        <f t="shared" si="191"/>
        <v>0</v>
      </c>
      <c r="AE259" s="150">
        <f t="shared" si="192"/>
        <v>0</v>
      </c>
      <c r="AF259" s="165">
        <f t="shared" si="193"/>
        <v>0</v>
      </c>
      <c r="AG259" s="168">
        <f t="shared" si="194"/>
        <v>244325.27</v>
      </c>
      <c r="AH259" s="149">
        <f t="shared" si="195"/>
        <v>0</v>
      </c>
      <c r="AI259" s="149">
        <f t="shared" si="196"/>
        <v>0</v>
      </c>
      <c r="AJ259" s="171">
        <f t="shared" si="197"/>
        <v>0</v>
      </c>
      <c r="AK259" s="160">
        <f t="shared" si="198"/>
        <v>0</v>
      </c>
      <c r="AL259" s="150">
        <f t="shared" si="199"/>
        <v>0</v>
      </c>
      <c r="AM259" s="150">
        <f t="shared" si="200"/>
        <v>0</v>
      </c>
      <c r="AN259" s="165">
        <f t="shared" si="201"/>
        <v>0</v>
      </c>
      <c r="AO259" s="168">
        <f t="shared" si="202"/>
        <v>0</v>
      </c>
      <c r="AP259" s="149">
        <f t="shared" si="203"/>
        <v>0</v>
      </c>
      <c r="AQ259" s="149">
        <f t="shared" si="204"/>
        <v>0</v>
      </c>
      <c r="AR259" s="157">
        <f t="shared" si="205"/>
        <v>0</v>
      </c>
      <c r="AS259" s="160">
        <f t="shared" si="206"/>
        <v>0</v>
      </c>
      <c r="AT259" s="150">
        <f t="shared" si="207"/>
        <v>0</v>
      </c>
      <c r="AU259" s="150">
        <f t="shared" si="208"/>
        <v>0</v>
      </c>
      <c r="AV259" s="165">
        <f t="shared" si="209"/>
        <v>0</v>
      </c>
      <c r="AW259" s="168">
        <f t="shared" si="210"/>
        <v>0</v>
      </c>
      <c r="AX259" s="149">
        <f t="shared" si="211"/>
        <v>0</v>
      </c>
      <c r="AY259" s="149">
        <f t="shared" si="212"/>
        <v>0</v>
      </c>
      <c r="AZ259" s="157">
        <f t="shared" si="213"/>
        <v>0</v>
      </c>
      <c r="BA259" s="160">
        <f t="shared" si="214"/>
        <v>0</v>
      </c>
      <c r="BB259" s="150">
        <f t="shared" si="215"/>
        <v>0</v>
      </c>
      <c r="BC259" s="150">
        <f t="shared" si="216"/>
        <v>0</v>
      </c>
      <c r="BD259" s="176">
        <f t="shared" si="217"/>
        <v>0</v>
      </c>
      <c r="BE259" s="168">
        <f t="shared" si="218"/>
        <v>0</v>
      </c>
      <c r="BF259" s="149">
        <f t="shared" si="219"/>
        <v>0</v>
      </c>
      <c r="BG259" s="149">
        <f t="shared" si="220"/>
        <v>0</v>
      </c>
      <c r="BH259" s="171">
        <f t="shared" si="221"/>
        <v>0</v>
      </c>
      <c r="BI259" s="160">
        <f t="shared" si="222"/>
        <v>0</v>
      </c>
      <c r="BJ259" s="150">
        <f t="shared" si="223"/>
        <v>0</v>
      </c>
      <c r="BK259" s="150">
        <f t="shared" si="224"/>
        <v>0</v>
      </c>
      <c r="BL259" s="176">
        <f t="shared" si="225"/>
        <v>0</v>
      </c>
      <c r="BM259" s="168">
        <f t="shared" si="226"/>
        <v>0</v>
      </c>
      <c r="BN259" s="149">
        <f t="shared" si="227"/>
        <v>0</v>
      </c>
      <c r="BO259" s="149">
        <f t="shared" si="228"/>
        <v>0</v>
      </c>
      <c r="BP259" s="157">
        <f t="shared" si="229"/>
        <v>0</v>
      </c>
      <c r="BQ259" s="160">
        <f t="shared" si="230"/>
        <v>0</v>
      </c>
      <c r="BR259" s="150">
        <f t="shared" si="231"/>
        <v>0</v>
      </c>
      <c r="BS259" s="150">
        <f t="shared" si="232"/>
        <v>0</v>
      </c>
      <c r="BT259" s="176">
        <f t="shared" si="233"/>
        <v>0</v>
      </c>
      <c r="BU259" s="168">
        <f t="shared" si="234"/>
        <v>0</v>
      </c>
      <c r="BV259" s="149">
        <f t="shared" si="235"/>
        <v>0</v>
      </c>
      <c r="BW259" s="149">
        <f t="shared" si="236"/>
        <v>0</v>
      </c>
      <c r="BX259" s="157">
        <f t="shared" si="237"/>
        <v>0</v>
      </c>
      <c r="BY259" s="160">
        <f t="shared" si="238"/>
        <v>0</v>
      </c>
      <c r="BZ259" s="150">
        <f t="shared" si="239"/>
        <v>0</v>
      </c>
      <c r="CA259" s="150">
        <f t="shared" si="240"/>
        <v>0</v>
      </c>
      <c r="CB259" s="176">
        <f t="shared" si="241"/>
        <v>0</v>
      </c>
      <c r="CC259" s="168">
        <f t="shared" si="242"/>
        <v>0</v>
      </c>
      <c r="CD259" s="149">
        <f t="shared" si="243"/>
        <v>0</v>
      </c>
      <c r="CE259" s="149">
        <f t="shared" si="244"/>
        <v>0</v>
      </c>
      <c r="CF259" s="157">
        <f t="shared" si="245"/>
        <v>0</v>
      </c>
      <c r="CG259" s="160">
        <f t="shared" si="246"/>
        <v>0</v>
      </c>
      <c r="CH259" s="150">
        <f t="shared" si="247"/>
        <v>0</v>
      </c>
      <c r="CI259" s="150">
        <f t="shared" si="248"/>
        <v>0</v>
      </c>
      <c r="CJ259" s="176">
        <f t="shared" si="249"/>
        <v>0</v>
      </c>
      <c r="CK259" s="168">
        <f t="shared" si="250"/>
        <v>0</v>
      </c>
      <c r="CL259" s="149">
        <f t="shared" si="251"/>
        <v>0</v>
      </c>
      <c r="CM259" s="149">
        <f t="shared" si="252"/>
        <v>0</v>
      </c>
      <c r="CN259" s="157">
        <f t="shared" si="253"/>
        <v>0</v>
      </c>
      <c r="CO259" s="160">
        <f t="shared" si="254"/>
        <v>0</v>
      </c>
      <c r="CP259" s="150">
        <f t="shared" si="255"/>
        <v>0</v>
      </c>
      <c r="CQ259" s="150">
        <f t="shared" si="256"/>
        <v>0</v>
      </c>
      <c r="CR259" s="176">
        <f t="shared" si="257"/>
        <v>0</v>
      </c>
      <c r="CS259" s="168">
        <f t="shared" si="258"/>
        <v>0</v>
      </c>
      <c r="CT259" s="149">
        <f t="shared" si="259"/>
        <v>0</v>
      </c>
      <c r="CU259" s="149">
        <f t="shared" si="260"/>
        <v>0</v>
      </c>
      <c r="CV259" s="157">
        <f t="shared" si="261"/>
        <v>0</v>
      </c>
      <c r="CW259" s="160">
        <f t="shared" si="262"/>
        <v>0</v>
      </c>
      <c r="CX259" s="150">
        <f t="shared" si="263"/>
        <v>0</v>
      </c>
      <c r="CY259" s="150">
        <f t="shared" si="264"/>
        <v>0</v>
      </c>
      <c r="CZ259" s="176">
        <f t="shared" si="265"/>
        <v>0</v>
      </c>
      <c r="DA259" s="168">
        <f t="shared" si="266"/>
        <v>0</v>
      </c>
      <c r="DB259" s="149">
        <f t="shared" si="267"/>
        <v>0</v>
      </c>
      <c r="DC259" s="149">
        <f t="shared" si="268"/>
        <v>0</v>
      </c>
      <c r="DD259" s="157">
        <f t="shared" si="269"/>
        <v>0</v>
      </c>
    </row>
    <row r="260" spans="2:108" x14ac:dyDescent="0.2">
      <c r="B260" s="182" t="s">
        <v>292</v>
      </c>
      <c r="C260" s="556">
        <v>3</v>
      </c>
      <c r="D260" s="168">
        <f>'5-Year CIP'!V31</f>
        <v>237000</v>
      </c>
      <c r="E260" s="149">
        <v>0</v>
      </c>
      <c r="F260" s="149">
        <v>0</v>
      </c>
      <c r="G260" s="149">
        <v>0</v>
      </c>
      <c r="H260" s="168">
        <f t="shared" si="169"/>
        <v>247663.43570985686</v>
      </c>
      <c r="I260" s="610">
        <f t="shared" si="170"/>
        <v>0</v>
      </c>
      <c r="J260" s="610">
        <f t="shared" si="171"/>
        <v>0</v>
      </c>
      <c r="K260" s="610">
        <f t="shared" si="172"/>
        <v>247663.43570985686</v>
      </c>
      <c r="L260" s="610">
        <f t="shared" si="173"/>
        <v>0</v>
      </c>
      <c r="M260" s="610">
        <f t="shared" si="174"/>
        <v>0</v>
      </c>
      <c r="N260" s="610">
        <f t="shared" si="175"/>
        <v>0</v>
      </c>
      <c r="O260" s="610">
        <f t="shared" si="176"/>
        <v>0</v>
      </c>
      <c r="P260" s="610">
        <f t="shared" si="177"/>
        <v>0</v>
      </c>
      <c r="Q260" s="610">
        <f t="shared" si="178"/>
        <v>0</v>
      </c>
      <c r="R260" s="610">
        <f t="shared" si="179"/>
        <v>0</v>
      </c>
      <c r="S260" s="610">
        <f t="shared" si="180"/>
        <v>0</v>
      </c>
      <c r="T260" s="610">
        <f t="shared" si="181"/>
        <v>0</v>
      </c>
      <c r="U260" s="610">
        <f t="shared" si="182"/>
        <v>0</v>
      </c>
      <c r="V260" s="610">
        <f t="shared" si="183"/>
        <v>0</v>
      </c>
      <c r="W260" s="610">
        <f t="shared" si="184"/>
        <v>0</v>
      </c>
      <c r="X260" s="610">
        <f t="shared" si="185"/>
        <v>0</v>
      </c>
      <c r="Y260" s="610">
        <f t="shared" si="186"/>
        <v>0</v>
      </c>
      <c r="Z260" s="610">
        <f t="shared" si="187"/>
        <v>0</v>
      </c>
      <c r="AA260" s="610">
        <f t="shared" si="188"/>
        <v>0</v>
      </c>
      <c r="AB260" s="611">
        <f t="shared" si="189"/>
        <v>0</v>
      </c>
      <c r="AC260" s="160">
        <f t="shared" si="190"/>
        <v>0</v>
      </c>
      <c r="AD260" s="150">
        <f t="shared" si="191"/>
        <v>0</v>
      </c>
      <c r="AE260" s="150">
        <f t="shared" si="192"/>
        <v>0</v>
      </c>
      <c r="AF260" s="165">
        <f t="shared" si="193"/>
        <v>0</v>
      </c>
      <c r="AG260" s="168">
        <f t="shared" si="194"/>
        <v>0</v>
      </c>
      <c r="AH260" s="149">
        <f t="shared" si="195"/>
        <v>0</v>
      </c>
      <c r="AI260" s="149">
        <f t="shared" si="196"/>
        <v>0</v>
      </c>
      <c r="AJ260" s="171">
        <f t="shared" si="197"/>
        <v>0</v>
      </c>
      <c r="AK260" s="160">
        <f t="shared" si="198"/>
        <v>258976.299</v>
      </c>
      <c r="AL260" s="150">
        <f t="shared" si="199"/>
        <v>0</v>
      </c>
      <c r="AM260" s="150">
        <f t="shared" si="200"/>
        <v>0</v>
      </c>
      <c r="AN260" s="165">
        <f t="shared" si="201"/>
        <v>0</v>
      </c>
      <c r="AO260" s="168">
        <f t="shared" si="202"/>
        <v>0</v>
      </c>
      <c r="AP260" s="149">
        <f t="shared" si="203"/>
        <v>0</v>
      </c>
      <c r="AQ260" s="149">
        <f t="shared" si="204"/>
        <v>0</v>
      </c>
      <c r="AR260" s="157">
        <f t="shared" si="205"/>
        <v>0</v>
      </c>
      <c r="AS260" s="160">
        <f t="shared" si="206"/>
        <v>0</v>
      </c>
      <c r="AT260" s="150">
        <f t="shared" si="207"/>
        <v>0</v>
      </c>
      <c r="AU260" s="150">
        <f t="shared" si="208"/>
        <v>0</v>
      </c>
      <c r="AV260" s="165">
        <f t="shared" si="209"/>
        <v>0</v>
      </c>
      <c r="AW260" s="168">
        <f t="shared" si="210"/>
        <v>0</v>
      </c>
      <c r="AX260" s="149">
        <f t="shared" si="211"/>
        <v>0</v>
      </c>
      <c r="AY260" s="149">
        <f t="shared" si="212"/>
        <v>0</v>
      </c>
      <c r="AZ260" s="157">
        <f t="shared" si="213"/>
        <v>0</v>
      </c>
      <c r="BA260" s="160">
        <f t="shared" si="214"/>
        <v>0</v>
      </c>
      <c r="BB260" s="150">
        <f t="shared" si="215"/>
        <v>0</v>
      </c>
      <c r="BC260" s="150">
        <f t="shared" si="216"/>
        <v>0</v>
      </c>
      <c r="BD260" s="176">
        <f t="shared" si="217"/>
        <v>0</v>
      </c>
      <c r="BE260" s="168">
        <f t="shared" si="218"/>
        <v>0</v>
      </c>
      <c r="BF260" s="149">
        <f t="shared" si="219"/>
        <v>0</v>
      </c>
      <c r="BG260" s="149">
        <f t="shared" si="220"/>
        <v>0</v>
      </c>
      <c r="BH260" s="171">
        <f t="shared" si="221"/>
        <v>0</v>
      </c>
      <c r="BI260" s="160">
        <f t="shared" si="222"/>
        <v>0</v>
      </c>
      <c r="BJ260" s="150">
        <f t="shared" si="223"/>
        <v>0</v>
      </c>
      <c r="BK260" s="150">
        <f t="shared" si="224"/>
        <v>0</v>
      </c>
      <c r="BL260" s="176">
        <f t="shared" si="225"/>
        <v>0</v>
      </c>
      <c r="BM260" s="168">
        <f t="shared" si="226"/>
        <v>0</v>
      </c>
      <c r="BN260" s="149">
        <f t="shared" si="227"/>
        <v>0</v>
      </c>
      <c r="BO260" s="149">
        <f t="shared" si="228"/>
        <v>0</v>
      </c>
      <c r="BP260" s="157">
        <f t="shared" si="229"/>
        <v>0</v>
      </c>
      <c r="BQ260" s="160">
        <f t="shared" si="230"/>
        <v>0</v>
      </c>
      <c r="BR260" s="150">
        <f t="shared" si="231"/>
        <v>0</v>
      </c>
      <c r="BS260" s="150">
        <f t="shared" si="232"/>
        <v>0</v>
      </c>
      <c r="BT260" s="176">
        <f t="shared" si="233"/>
        <v>0</v>
      </c>
      <c r="BU260" s="168">
        <f t="shared" si="234"/>
        <v>0</v>
      </c>
      <c r="BV260" s="149">
        <f t="shared" si="235"/>
        <v>0</v>
      </c>
      <c r="BW260" s="149">
        <f t="shared" si="236"/>
        <v>0</v>
      </c>
      <c r="BX260" s="157">
        <f t="shared" si="237"/>
        <v>0</v>
      </c>
      <c r="BY260" s="160">
        <f t="shared" si="238"/>
        <v>0</v>
      </c>
      <c r="BZ260" s="150">
        <f t="shared" si="239"/>
        <v>0</v>
      </c>
      <c r="CA260" s="150">
        <f t="shared" si="240"/>
        <v>0</v>
      </c>
      <c r="CB260" s="176">
        <f t="shared" si="241"/>
        <v>0</v>
      </c>
      <c r="CC260" s="168">
        <f t="shared" si="242"/>
        <v>0</v>
      </c>
      <c r="CD260" s="149">
        <f t="shared" si="243"/>
        <v>0</v>
      </c>
      <c r="CE260" s="149">
        <f t="shared" si="244"/>
        <v>0</v>
      </c>
      <c r="CF260" s="157">
        <f t="shared" si="245"/>
        <v>0</v>
      </c>
      <c r="CG260" s="160">
        <f t="shared" si="246"/>
        <v>0</v>
      </c>
      <c r="CH260" s="150">
        <f t="shared" si="247"/>
        <v>0</v>
      </c>
      <c r="CI260" s="150">
        <f t="shared" si="248"/>
        <v>0</v>
      </c>
      <c r="CJ260" s="176">
        <f t="shared" si="249"/>
        <v>0</v>
      </c>
      <c r="CK260" s="168">
        <f t="shared" si="250"/>
        <v>0</v>
      </c>
      <c r="CL260" s="149">
        <f t="shared" si="251"/>
        <v>0</v>
      </c>
      <c r="CM260" s="149">
        <f t="shared" si="252"/>
        <v>0</v>
      </c>
      <c r="CN260" s="157">
        <f t="shared" si="253"/>
        <v>0</v>
      </c>
      <c r="CO260" s="160">
        <f t="shared" si="254"/>
        <v>0</v>
      </c>
      <c r="CP260" s="150">
        <f t="shared" si="255"/>
        <v>0</v>
      </c>
      <c r="CQ260" s="150">
        <f t="shared" si="256"/>
        <v>0</v>
      </c>
      <c r="CR260" s="176">
        <f t="shared" si="257"/>
        <v>0</v>
      </c>
      <c r="CS260" s="168">
        <f t="shared" si="258"/>
        <v>0</v>
      </c>
      <c r="CT260" s="149">
        <f t="shared" si="259"/>
        <v>0</v>
      </c>
      <c r="CU260" s="149">
        <f t="shared" si="260"/>
        <v>0</v>
      </c>
      <c r="CV260" s="157">
        <f t="shared" si="261"/>
        <v>0</v>
      </c>
      <c r="CW260" s="160">
        <f t="shared" si="262"/>
        <v>0</v>
      </c>
      <c r="CX260" s="150">
        <f t="shared" si="263"/>
        <v>0</v>
      </c>
      <c r="CY260" s="150">
        <f t="shared" si="264"/>
        <v>0</v>
      </c>
      <c r="CZ260" s="176">
        <f t="shared" si="265"/>
        <v>0</v>
      </c>
      <c r="DA260" s="168">
        <f t="shared" si="266"/>
        <v>0</v>
      </c>
      <c r="DB260" s="149">
        <f t="shared" si="267"/>
        <v>0</v>
      </c>
      <c r="DC260" s="149">
        <f t="shared" si="268"/>
        <v>0</v>
      </c>
      <c r="DD260" s="157">
        <f t="shared" si="269"/>
        <v>0</v>
      </c>
    </row>
    <row r="261" spans="2:108" x14ac:dyDescent="0.2">
      <c r="B261" s="182" t="s">
        <v>293</v>
      </c>
      <c r="C261" s="556">
        <v>4</v>
      </c>
      <c r="D261" s="168">
        <f>'5-Year CIP'!AA31</f>
        <v>244200</v>
      </c>
      <c r="E261" s="149">
        <v>0</v>
      </c>
      <c r="F261" s="149">
        <v>0</v>
      </c>
      <c r="G261" s="149">
        <v>0</v>
      </c>
      <c r="H261" s="168">
        <f t="shared" si="169"/>
        <v>258958.63037707575</v>
      </c>
      <c r="I261" s="610">
        <f t="shared" si="170"/>
        <v>0</v>
      </c>
      <c r="J261" s="610">
        <f t="shared" si="171"/>
        <v>0</v>
      </c>
      <c r="K261" s="610">
        <f t="shared" si="172"/>
        <v>0</v>
      </c>
      <c r="L261" s="610">
        <f t="shared" si="173"/>
        <v>258958.63037707575</v>
      </c>
      <c r="M261" s="610">
        <f t="shared" si="174"/>
        <v>0</v>
      </c>
      <c r="N261" s="610">
        <f t="shared" si="175"/>
        <v>0</v>
      </c>
      <c r="O261" s="610">
        <f t="shared" si="176"/>
        <v>0</v>
      </c>
      <c r="P261" s="610">
        <f t="shared" si="177"/>
        <v>0</v>
      </c>
      <c r="Q261" s="610">
        <f t="shared" si="178"/>
        <v>0</v>
      </c>
      <c r="R261" s="610">
        <f t="shared" si="179"/>
        <v>0</v>
      </c>
      <c r="S261" s="610">
        <f t="shared" si="180"/>
        <v>0</v>
      </c>
      <c r="T261" s="610">
        <f t="shared" si="181"/>
        <v>0</v>
      </c>
      <c r="U261" s="610">
        <f t="shared" si="182"/>
        <v>0</v>
      </c>
      <c r="V261" s="610">
        <f t="shared" si="183"/>
        <v>0</v>
      </c>
      <c r="W261" s="610">
        <f t="shared" si="184"/>
        <v>0</v>
      </c>
      <c r="X261" s="610">
        <f t="shared" si="185"/>
        <v>0</v>
      </c>
      <c r="Y261" s="610">
        <f t="shared" si="186"/>
        <v>0</v>
      </c>
      <c r="Z261" s="610">
        <f t="shared" si="187"/>
        <v>0</v>
      </c>
      <c r="AA261" s="610">
        <f t="shared" si="188"/>
        <v>0</v>
      </c>
      <c r="AB261" s="611">
        <f t="shared" si="189"/>
        <v>0</v>
      </c>
      <c r="AC261" s="160">
        <f t="shared" si="190"/>
        <v>0</v>
      </c>
      <c r="AD261" s="150">
        <f t="shared" si="191"/>
        <v>0</v>
      </c>
      <c r="AE261" s="150">
        <f t="shared" si="192"/>
        <v>0</v>
      </c>
      <c r="AF261" s="165">
        <f t="shared" si="193"/>
        <v>0</v>
      </c>
      <c r="AG261" s="168">
        <f t="shared" si="194"/>
        <v>0</v>
      </c>
      <c r="AH261" s="149">
        <f t="shared" si="195"/>
        <v>0</v>
      </c>
      <c r="AI261" s="149">
        <f t="shared" si="196"/>
        <v>0</v>
      </c>
      <c r="AJ261" s="171">
        <f t="shared" si="197"/>
        <v>0</v>
      </c>
      <c r="AK261" s="160">
        <f t="shared" si="198"/>
        <v>0</v>
      </c>
      <c r="AL261" s="150">
        <f t="shared" si="199"/>
        <v>0</v>
      </c>
      <c r="AM261" s="150">
        <f t="shared" si="200"/>
        <v>0</v>
      </c>
      <c r="AN261" s="165">
        <f t="shared" si="201"/>
        <v>0</v>
      </c>
      <c r="AO261" s="168">
        <f t="shared" si="202"/>
        <v>274849.25140199997</v>
      </c>
      <c r="AP261" s="149">
        <f t="shared" si="203"/>
        <v>0</v>
      </c>
      <c r="AQ261" s="149">
        <f t="shared" si="204"/>
        <v>0</v>
      </c>
      <c r="AR261" s="157">
        <f t="shared" si="205"/>
        <v>0</v>
      </c>
      <c r="AS261" s="160">
        <f t="shared" si="206"/>
        <v>0</v>
      </c>
      <c r="AT261" s="150">
        <f t="shared" si="207"/>
        <v>0</v>
      </c>
      <c r="AU261" s="150">
        <f t="shared" si="208"/>
        <v>0</v>
      </c>
      <c r="AV261" s="165">
        <f t="shared" si="209"/>
        <v>0</v>
      </c>
      <c r="AW261" s="168">
        <f t="shared" si="210"/>
        <v>0</v>
      </c>
      <c r="AX261" s="149">
        <f t="shared" si="211"/>
        <v>0</v>
      </c>
      <c r="AY261" s="149">
        <f t="shared" si="212"/>
        <v>0</v>
      </c>
      <c r="AZ261" s="157">
        <f t="shared" si="213"/>
        <v>0</v>
      </c>
      <c r="BA261" s="160">
        <f t="shared" si="214"/>
        <v>0</v>
      </c>
      <c r="BB261" s="150">
        <f t="shared" si="215"/>
        <v>0</v>
      </c>
      <c r="BC261" s="150">
        <f t="shared" si="216"/>
        <v>0</v>
      </c>
      <c r="BD261" s="176">
        <f t="shared" si="217"/>
        <v>0</v>
      </c>
      <c r="BE261" s="168">
        <f t="shared" si="218"/>
        <v>0</v>
      </c>
      <c r="BF261" s="149">
        <f t="shared" si="219"/>
        <v>0</v>
      </c>
      <c r="BG261" s="149">
        <f t="shared" si="220"/>
        <v>0</v>
      </c>
      <c r="BH261" s="171">
        <f t="shared" si="221"/>
        <v>0</v>
      </c>
      <c r="BI261" s="160">
        <f t="shared" si="222"/>
        <v>0</v>
      </c>
      <c r="BJ261" s="150">
        <f t="shared" si="223"/>
        <v>0</v>
      </c>
      <c r="BK261" s="150">
        <f t="shared" si="224"/>
        <v>0</v>
      </c>
      <c r="BL261" s="176">
        <f t="shared" si="225"/>
        <v>0</v>
      </c>
      <c r="BM261" s="168">
        <f t="shared" si="226"/>
        <v>0</v>
      </c>
      <c r="BN261" s="149">
        <f t="shared" si="227"/>
        <v>0</v>
      </c>
      <c r="BO261" s="149">
        <f t="shared" si="228"/>
        <v>0</v>
      </c>
      <c r="BP261" s="157">
        <f t="shared" si="229"/>
        <v>0</v>
      </c>
      <c r="BQ261" s="160">
        <f t="shared" si="230"/>
        <v>0</v>
      </c>
      <c r="BR261" s="150">
        <f t="shared" si="231"/>
        <v>0</v>
      </c>
      <c r="BS261" s="150">
        <f t="shared" si="232"/>
        <v>0</v>
      </c>
      <c r="BT261" s="176">
        <f t="shared" si="233"/>
        <v>0</v>
      </c>
      <c r="BU261" s="168">
        <f t="shared" si="234"/>
        <v>0</v>
      </c>
      <c r="BV261" s="149">
        <f t="shared" si="235"/>
        <v>0</v>
      </c>
      <c r="BW261" s="149">
        <f t="shared" si="236"/>
        <v>0</v>
      </c>
      <c r="BX261" s="157">
        <f t="shared" si="237"/>
        <v>0</v>
      </c>
      <c r="BY261" s="160">
        <f t="shared" si="238"/>
        <v>0</v>
      </c>
      <c r="BZ261" s="150">
        <f t="shared" si="239"/>
        <v>0</v>
      </c>
      <c r="CA261" s="150">
        <f t="shared" si="240"/>
        <v>0</v>
      </c>
      <c r="CB261" s="176">
        <f t="shared" si="241"/>
        <v>0</v>
      </c>
      <c r="CC261" s="168">
        <f t="shared" si="242"/>
        <v>0</v>
      </c>
      <c r="CD261" s="149">
        <f t="shared" si="243"/>
        <v>0</v>
      </c>
      <c r="CE261" s="149">
        <f t="shared" si="244"/>
        <v>0</v>
      </c>
      <c r="CF261" s="157">
        <f t="shared" si="245"/>
        <v>0</v>
      </c>
      <c r="CG261" s="160">
        <f t="shared" si="246"/>
        <v>0</v>
      </c>
      <c r="CH261" s="150">
        <f t="shared" si="247"/>
        <v>0</v>
      </c>
      <c r="CI261" s="150">
        <f t="shared" si="248"/>
        <v>0</v>
      </c>
      <c r="CJ261" s="176">
        <f t="shared" si="249"/>
        <v>0</v>
      </c>
      <c r="CK261" s="168">
        <f t="shared" si="250"/>
        <v>0</v>
      </c>
      <c r="CL261" s="149">
        <f t="shared" si="251"/>
        <v>0</v>
      </c>
      <c r="CM261" s="149">
        <f t="shared" si="252"/>
        <v>0</v>
      </c>
      <c r="CN261" s="157">
        <f t="shared" si="253"/>
        <v>0</v>
      </c>
      <c r="CO261" s="160">
        <f t="shared" si="254"/>
        <v>0</v>
      </c>
      <c r="CP261" s="150">
        <f t="shared" si="255"/>
        <v>0</v>
      </c>
      <c r="CQ261" s="150">
        <f t="shared" si="256"/>
        <v>0</v>
      </c>
      <c r="CR261" s="176">
        <f t="shared" si="257"/>
        <v>0</v>
      </c>
      <c r="CS261" s="168">
        <f t="shared" si="258"/>
        <v>0</v>
      </c>
      <c r="CT261" s="149">
        <f t="shared" si="259"/>
        <v>0</v>
      </c>
      <c r="CU261" s="149">
        <f t="shared" si="260"/>
        <v>0</v>
      </c>
      <c r="CV261" s="157">
        <f t="shared" si="261"/>
        <v>0</v>
      </c>
      <c r="CW261" s="160">
        <f t="shared" si="262"/>
        <v>0</v>
      </c>
      <c r="CX261" s="150">
        <f t="shared" si="263"/>
        <v>0</v>
      </c>
      <c r="CY261" s="150">
        <f t="shared" si="264"/>
        <v>0</v>
      </c>
      <c r="CZ261" s="176">
        <f t="shared" si="265"/>
        <v>0</v>
      </c>
      <c r="DA261" s="168">
        <f t="shared" si="266"/>
        <v>0</v>
      </c>
      <c r="DB261" s="149">
        <f t="shared" si="267"/>
        <v>0</v>
      </c>
      <c r="DC261" s="149">
        <f t="shared" si="268"/>
        <v>0</v>
      </c>
      <c r="DD261" s="157">
        <f t="shared" si="269"/>
        <v>0</v>
      </c>
    </row>
    <row r="262" spans="2:108" x14ac:dyDescent="0.2">
      <c r="B262" s="182" t="s">
        <v>294</v>
      </c>
      <c r="C262" s="556">
        <v>5</v>
      </c>
      <c r="D262" s="168">
        <f>'5-Year CIP'!AF31</f>
        <v>249800</v>
      </c>
      <c r="E262" s="149">
        <v>0</v>
      </c>
      <c r="F262" s="149">
        <v>0</v>
      </c>
      <c r="G262" s="149">
        <v>0</v>
      </c>
      <c r="H262" s="168">
        <f t="shared" si="169"/>
        <v>268811.81073512119</v>
      </c>
      <c r="I262" s="610">
        <f t="shared" si="170"/>
        <v>0</v>
      </c>
      <c r="J262" s="610">
        <f t="shared" si="171"/>
        <v>0</v>
      </c>
      <c r="K262" s="610">
        <f t="shared" si="172"/>
        <v>0</v>
      </c>
      <c r="L262" s="610">
        <f t="shared" si="173"/>
        <v>0</v>
      </c>
      <c r="M262" s="610">
        <f t="shared" si="174"/>
        <v>268811.81073512119</v>
      </c>
      <c r="N262" s="610">
        <f t="shared" si="175"/>
        <v>0</v>
      </c>
      <c r="O262" s="610">
        <f t="shared" si="176"/>
        <v>0</v>
      </c>
      <c r="P262" s="610">
        <f t="shared" si="177"/>
        <v>0</v>
      </c>
      <c r="Q262" s="610">
        <f t="shared" si="178"/>
        <v>0</v>
      </c>
      <c r="R262" s="610">
        <f t="shared" si="179"/>
        <v>0</v>
      </c>
      <c r="S262" s="610">
        <f t="shared" si="180"/>
        <v>0</v>
      </c>
      <c r="T262" s="610">
        <f t="shared" si="181"/>
        <v>0</v>
      </c>
      <c r="U262" s="610">
        <f t="shared" si="182"/>
        <v>0</v>
      </c>
      <c r="V262" s="610">
        <f t="shared" si="183"/>
        <v>0</v>
      </c>
      <c r="W262" s="610">
        <f t="shared" si="184"/>
        <v>0</v>
      </c>
      <c r="X262" s="610">
        <f t="shared" si="185"/>
        <v>0</v>
      </c>
      <c r="Y262" s="610">
        <f t="shared" si="186"/>
        <v>0</v>
      </c>
      <c r="Z262" s="610">
        <f t="shared" si="187"/>
        <v>0</v>
      </c>
      <c r="AA262" s="610">
        <f t="shared" si="188"/>
        <v>0</v>
      </c>
      <c r="AB262" s="611">
        <f t="shared" si="189"/>
        <v>0</v>
      </c>
      <c r="AC262" s="160">
        <f t="shared" si="190"/>
        <v>0</v>
      </c>
      <c r="AD262" s="150">
        <f t="shared" si="191"/>
        <v>0</v>
      </c>
      <c r="AE262" s="150">
        <f t="shared" si="192"/>
        <v>0</v>
      </c>
      <c r="AF262" s="165">
        <f t="shared" si="193"/>
        <v>0</v>
      </c>
      <c r="AG262" s="168">
        <f t="shared" si="194"/>
        <v>0</v>
      </c>
      <c r="AH262" s="149">
        <f t="shared" si="195"/>
        <v>0</v>
      </c>
      <c r="AI262" s="149">
        <f t="shared" si="196"/>
        <v>0</v>
      </c>
      <c r="AJ262" s="171">
        <f t="shared" si="197"/>
        <v>0</v>
      </c>
      <c r="AK262" s="160">
        <f t="shared" si="198"/>
        <v>0</v>
      </c>
      <c r="AL262" s="150">
        <f t="shared" si="199"/>
        <v>0</v>
      </c>
      <c r="AM262" s="150">
        <f t="shared" si="200"/>
        <v>0</v>
      </c>
      <c r="AN262" s="165">
        <f t="shared" si="201"/>
        <v>0</v>
      </c>
      <c r="AO262" s="168">
        <f t="shared" si="202"/>
        <v>0</v>
      </c>
      <c r="AP262" s="149">
        <f t="shared" si="203"/>
        <v>0</v>
      </c>
      <c r="AQ262" s="149">
        <f t="shared" si="204"/>
        <v>0</v>
      </c>
      <c r="AR262" s="157">
        <f t="shared" si="205"/>
        <v>0</v>
      </c>
      <c r="AS262" s="160">
        <f t="shared" si="206"/>
        <v>289586.66376013996</v>
      </c>
      <c r="AT262" s="150">
        <f t="shared" si="207"/>
        <v>0</v>
      </c>
      <c r="AU262" s="150">
        <f t="shared" si="208"/>
        <v>0</v>
      </c>
      <c r="AV262" s="165">
        <f t="shared" si="209"/>
        <v>0</v>
      </c>
      <c r="AW262" s="168">
        <f t="shared" si="210"/>
        <v>0</v>
      </c>
      <c r="AX262" s="149">
        <f t="shared" si="211"/>
        <v>0</v>
      </c>
      <c r="AY262" s="149">
        <f t="shared" si="212"/>
        <v>0</v>
      </c>
      <c r="AZ262" s="157">
        <f t="shared" si="213"/>
        <v>0</v>
      </c>
      <c r="BA262" s="160">
        <f t="shared" si="214"/>
        <v>0</v>
      </c>
      <c r="BB262" s="150">
        <f t="shared" si="215"/>
        <v>0</v>
      </c>
      <c r="BC262" s="150">
        <f t="shared" si="216"/>
        <v>0</v>
      </c>
      <c r="BD262" s="176">
        <f t="shared" si="217"/>
        <v>0</v>
      </c>
      <c r="BE262" s="168">
        <f t="shared" si="218"/>
        <v>0</v>
      </c>
      <c r="BF262" s="149">
        <f t="shared" si="219"/>
        <v>0</v>
      </c>
      <c r="BG262" s="149">
        <f t="shared" si="220"/>
        <v>0</v>
      </c>
      <c r="BH262" s="171">
        <f t="shared" si="221"/>
        <v>0</v>
      </c>
      <c r="BI262" s="160">
        <f t="shared" si="222"/>
        <v>0</v>
      </c>
      <c r="BJ262" s="150">
        <f t="shared" si="223"/>
        <v>0</v>
      </c>
      <c r="BK262" s="150">
        <f t="shared" si="224"/>
        <v>0</v>
      </c>
      <c r="BL262" s="176">
        <f t="shared" si="225"/>
        <v>0</v>
      </c>
      <c r="BM262" s="168">
        <f t="shared" si="226"/>
        <v>0</v>
      </c>
      <c r="BN262" s="149">
        <f t="shared" si="227"/>
        <v>0</v>
      </c>
      <c r="BO262" s="149">
        <f t="shared" si="228"/>
        <v>0</v>
      </c>
      <c r="BP262" s="157">
        <f t="shared" si="229"/>
        <v>0</v>
      </c>
      <c r="BQ262" s="160">
        <f t="shared" si="230"/>
        <v>0</v>
      </c>
      <c r="BR262" s="150">
        <f t="shared" si="231"/>
        <v>0</v>
      </c>
      <c r="BS262" s="150">
        <f t="shared" si="232"/>
        <v>0</v>
      </c>
      <c r="BT262" s="176">
        <f t="shared" si="233"/>
        <v>0</v>
      </c>
      <c r="BU262" s="168">
        <f t="shared" si="234"/>
        <v>0</v>
      </c>
      <c r="BV262" s="149">
        <f t="shared" si="235"/>
        <v>0</v>
      </c>
      <c r="BW262" s="149">
        <f t="shared" si="236"/>
        <v>0</v>
      </c>
      <c r="BX262" s="157">
        <f t="shared" si="237"/>
        <v>0</v>
      </c>
      <c r="BY262" s="160">
        <f t="shared" si="238"/>
        <v>0</v>
      </c>
      <c r="BZ262" s="150">
        <f t="shared" si="239"/>
        <v>0</v>
      </c>
      <c r="CA262" s="150">
        <f t="shared" si="240"/>
        <v>0</v>
      </c>
      <c r="CB262" s="176">
        <f t="shared" si="241"/>
        <v>0</v>
      </c>
      <c r="CC262" s="168">
        <f t="shared" si="242"/>
        <v>0</v>
      </c>
      <c r="CD262" s="149">
        <f t="shared" si="243"/>
        <v>0</v>
      </c>
      <c r="CE262" s="149">
        <f t="shared" si="244"/>
        <v>0</v>
      </c>
      <c r="CF262" s="157">
        <f t="shared" si="245"/>
        <v>0</v>
      </c>
      <c r="CG262" s="160">
        <f t="shared" si="246"/>
        <v>0</v>
      </c>
      <c r="CH262" s="150">
        <f t="shared" si="247"/>
        <v>0</v>
      </c>
      <c r="CI262" s="150">
        <f t="shared" si="248"/>
        <v>0</v>
      </c>
      <c r="CJ262" s="176">
        <f t="shared" si="249"/>
        <v>0</v>
      </c>
      <c r="CK262" s="168">
        <f t="shared" si="250"/>
        <v>0</v>
      </c>
      <c r="CL262" s="149">
        <f t="shared" si="251"/>
        <v>0</v>
      </c>
      <c r="CM262" s="149">
        <f t="shared" si="252"/>
        <v>0</v>
      </c>
      <c r="CN262" s="157">
        <f t="shared" si="253"/>
        <v>0</v>
      </c>
      <c r="CO262" s="160">
        <f t="shared" si="254"/>
        <v>0</v>
      </c>
      <c r="CP262" s="150">
        <f t="shared" si="255"/>
        <v>0</v>
      </c>
      <c r="CQ262" s="150">
        <f t="shared" si="256"/>
        <v>0</v>
      </c>
      <c r="CR262" s="176">
        <f t="shared" si="257"/>
        <v>0</v>
      </c>
      <c r="CS262" s="168">
        <f t="shared" si="258"/>
        <v>0</v>
      </c>
      <c r="CT262" s="149">
        <f t="shared" si="259"/>
        <v>0</v>
      </c>
      <c r="CU262" s="149">
        <f t="shared" si="260"/>
        <v>0</v>
      </c>
      <c r="CV262" s="157">
        <f t="shared" si="261"/>
        <v>0</v>
      </c>
      <c r="CW262" s="160">
        <f t="shared" si="262"/>
        <v>0</v>
      </c>
      <c r="CX262" s="150">
        <f t="shared" si="263"/>
        <v>0</v>
      </c>
      <c r="CY262" s="150">
        <f t="shared" si="264"/>
        <v>0</v>
      </c>
      <c r="CZ262" s="176">
        <f t="shared" si="265"/>
        <v>0</v>
      </c>
      <c r="DA262" s="168">
        <f t="shared" si="266"/>
        <v>0</v>
      </c>
      <c r="DB262" s="149">
        <f t="shared" si="267"/>
        <v>0</v>
      </c>
      <c r="DC262" s="149">
        <f t="shared" si="268"/>
        <v>0</v>
      </c>
      <c r="DD262" s="157">
        <f t="shared" si="269"/>
        <v>0</v>
      </c>
    </row>
    <row r="263" spans="2:108" x14ac:dyDescent="0.2">
      <c r="B263" s="182" t="s">
        <v>295</v>
      </c>
      <c r="C263" s="556">
        <v>6</v>
      </c>
      <c r="D263" s="168">
        <f>'5-Year CIP'!AK31</f>
        <v>257000</v>
      </c>
      <c r="E263" s="149">
        <v>0</v>
      </c>
      <c r="F263" s="149">
        <v>0</v>
      </c>
      <c r="G263" s="149">
        <v>0</v>
      </c>
      <c r="H263" s="168">
        <f t="shared" si="169"/>
        <v>280646.87974889838</v>
      </c>
      <c r="I263" s="610">
        <f t="shared" si="170"/>
        <v>0</v>
      </c>
      <c r="J263" s="610">
        <f t="shared" si="171"/>
        <v>0</v>
      </c>
      <c r="K263" s="610">
        <f t="shared" si="172"/>
        <v>0</v>
      </c>
      <c r="L263" s="610">
        <f t="shared" si="173"/>
        <v>0</v>
      </c>
      <c r="M263" s="610">
        <f t="shared" si="174"/>
        <v>0</v>
      </c>
      <c r="N263" s="610">
        <f t="shared" si="175"/>
        <v>280646.87974889838</v>
      </c>
      <c r="O263" s="610">
        <f t="shared" si="176"/>
        <v>0</v>
      </c>
      <c r="P263" s="610">
        <f t="shared" si="177"/>
        <v>0</v>
      </c>
      <c r="Q263" s="610">
        <f t="shared" si="178"/>
        <v>0</v>
      </c>
      <c r="R263" s="610">
        <f t="shared" si="179"/>
        <v>0</v>
      </c>
      <c r="S263" s="610">
        <f t="shared" si="180"/>
        <v>0</v>
      </c>
      <c r="T263" s="610">
        <f t="shared" si="181"/>
        <v>0</v>
      </c>
      <c r="U263" s="610">
        <f t="shared" si="182"/>
        <v>0</v>
      </c>
      <c r="V263" s="610">
        <f t="shared" si="183"/>
        <v>0</v>
      </c>
      <c r="W263" s="610">
        <f t="shared" si="184"/>
        <v>0</v>
      </c>
      <c r="X263" s="610">
        <f t="shared" si="185"/>
        <v>0</v>
      </c>
      <c r="Y263" s="610">
        <f t="shared" si="186"/>
        <v>0</v>
      </c>
      <c r="Z263" s="610">
        <f t="shared" si="187"/>
        <v>0</v>
      </c>
      <c r="AA263" s="610">
        <f t="shared" si="188"/>
        <v>0</v>
      </c>
      <c r="AB263" s="611">
        <f t="shared" si="189"/>
        <v>0</v>
      </c>
      <c r="AC263" s="160">
        <f t="shared" si="190"/>
        <v>0</v>
      </c>
      <c r="AD263" s="150">
        <f t="shared" si="191"/>
        <v>0</v>
      </c>
      <c r="AE263" s="150">
        <f t="shared" si="192"/>
        <v>0</v>
      </c>
      <c r="AF263" s="165">
        <f t="shared" si="193"/>
        <v>0</v>
      </c>
      <c r="AG263" s="168">
        <f t="shared" si="194"/>
        <v>0</v>
      </c>
      <c r="AH263" s="149">
        <f t="shared" si="195"/>
        <v>0</v>
      </c>
      <c r="AI263" s="149">
        <f t="shared" si="196"/>
        <v>0</v>
      </c>
      <c r="AJ263" s="171">
        <f t="shared" si="197"/>
        <v>0</v>
      </c>
      <c r="AK263" s="160">
        <f t="shared" si="198"/>
        <v>0</v>
      </c>
      <c r="AL263" s="150">
        <f t="shared" si="199"/>
        <v>0</v>
      </c>
      <c r="AM263" s="150">
        <f t="shared" si="200"/>
        <v>0</v>
      </c>
      <c r="AN263" s="165">
        <f t="shared" si="201"/>
        <v>0</v>
      </c>
      <c r="AO263" s="168">
        <f t="shared" si="202"/>
        <v>0</v>
      </c>
      <c r="AP263" s="149">
        <f t="shared" si="203"/>
        <v>0</v>
      </c>
      <c r="AQ263" s="149">
        <f t="shared" si="204"/>
        <v>0</v>
      </c>
      <c r="AR263" s="157">
        <f t="shared" si="205"/>
        <v>0</v>
      </c>
      <c r="AS263" s="160">
        <f t="shared" si="206"/>
        <v>0</v>
      </c>
      <c r="AT263" s="150">
        <f t="shared" si="207"/>
        <v>0</v>
      </c>
      <c r="AU263" s="150">
        <f t="shared" si="208"/>
        <v>0</v>
      </c>
      <c r="AV263" s="165">
        <f t="shared" si="209"/>
        <v>0</v>
      </c>
      <c r="AW263" s="168">
        <f t="shared" si="210"/>
        <v>306871.44020795298</v>
      </c>
      <c r="AX263" s="149">
        <f t="shared" si="211"/>
        <v>0</v>
      </c>
      <c r="AY263" s="149">
        <f t="shared" si="212"/>
        <v>0</v>
      </c>
      <c r="AZ263" s="157">
        <f t="shared" si="213"/>
        <v>0</v>
      </c>
      <c r="BA263" s="160">
        <f t="shared" si="214"/>
        <v>0</v>
      </c>
      <c r="BB263" s="150">
        <f t="shared" si="215"/>
        <v>0</v>
      </c>
      <c r="BC263" s="150">
        <f t="shared" si="216"/>
        <v>0</v>
      </c>
      <c r="BD263" s="176">
        <f t="shared" si="217"/>
        <v>0</v>
      </c>
      <c r="BE263" s="168">
        <f t="shared" si="218"/>
        <v>0</v>
      </c>
      <c r="BF263" s="149">
        <f t="shared" si="219"/>
        <v>0</v>
      </c>
      <c r="BG263" s="149">
        <f t="shared" si="220"/>
        <v>0</v>
      </c>
      <c r="BH263" s="171">
        <f t="shared" si="221"/>
        <v>0</v>
      </c>
      <c r="BI263" s="160">
        <f t="shared" si="222"/>
        <v>0</v>
      </c>
      <c r="BJ263" s="150">
        <f t="shared" si="223"/>
        <v>0</v>
      </c>
      <c r="BK263" s="150">
        <f t="shared" si="224"/>
        <v>0</v>
      </c>
      <c r="BL263" s="176">
        <f t="shared" si="225"/>
        <v>0</v>
      </c>
      <c r="BM263" s="168">
        <f t="shared" si="226"/>
        <v>0</v>
      </c>
      <c r="BN263" s="149">
        <f t="shared" si="227"/>
        <v>0</v>
      </c>
      <c r="BO263" s="149">
        <f t="shared" si="228"/>
        <v>0</v>
      </c>
      <c r="BP263" s="157">
        <f t="shared" si="229"/>
        <v>0</v>
      </c>
      <c r="BQ263" s="160">
        <f t="shared" si="230"/>
        <v>0</v>
      </c>
      <c r="BR263" s="150">
        <f t="shared" si="231"/>
        <v>0</v>
      </c>
      <c r="BS263" s="150">
        <f t="shared" si="232"/>
        <v>0</v>
      </c>
      <c r="BT263" s="176">
        <f t="shared" si="233"/>
        <v>0</v>
      </c>
      <c r="BU263" s="168">
        <f t="shared" si="234"/>
        <v>0</v>
      </c>
      <c r="BV263" s="149">
        <f t="shared" si="235"/>
        <v>0</v>
      </c>
      <c r="BW263" s="149">
        <f t="shared" si="236"/>
        <v>0</v>
      </c>
      <c r="BX263" s="157">
        <f t="shared" si="237"/>
        <v>0</v>
      </c>
      <c r="BY263" s="160">
        <f t="shared" si="238"/>
        <v>0</v>
      </c>
      <c r="BZ263" s="150">
        <f t="shared" si="239"/>
        <v>0</v>
      </c>
      <c r="CA263" s="150">
        <f t="shared" si="240"/>
        <v>0</v>
      </c>
      <c r="CB263" s="176">
        <f t="shared" si="241"/>
        <v>0</v>
      </c>
      <c r="CC263" s="168">
        <f t="shared" si="242"/>
        <v>0</v>
      </c>
      <c r="CD263" s="149">
        <f t="shared" si="243"/>
        <v>0</v>
      </c>
      <c r="CE263" s="149">
        <f t="shared" si="244"/>
        <v>0</v>
      </c>
      <c r="CF263" s="157">
        <f t="shared" si="245"/>
        <v>0</v>
      </c>
      <c r="CG263" s="160">
        <f t="shared" si="246"/>
        <v>0</v>
      </c>
      <c r="CH263" s="150">
        <f t="shared" si="247"/>
        <v>0</v>
      </c>
      <c r="CI263" s="150">
        <f t="shared" si="248"/>
        <v>0</v>
      </c>
      <c r="CJ263" s="176">
        <f t="shared" si="249"/>
        <v>0</v>
      </c>
      <c r="CK263" s="168">
        <f t="shared" si="250"/>
        <v>0</v>
      </c>
      <c r="CL263" s="149">
        <f t="shared" si="251"/>
        <v>0</v>
      </c>
      <c r="CM263" s="149">
        <f t="shared" si="252"/>
        <v>0</v>
      </c>
      <c r="CN263" s="157">
        <f t="shared" si="253"/>
        <v>0</v>
      </c>
      <c r="CO263" s="160">
        <f t="shared" si="254"/>
        <v>0</v>
      </c>
      <c r="CP263" s="150">
        <f t="shared" si="255"/>
        <v>0</v>
      </c>
      <c r="CQ263" s="150">
        <f t="shared" si="256"/>
        <v>0</v>
      </c>
      <c r="CR263" s="176">
        <f t="shared" si="257"/>
        <v>0</v>
      </c>
      <c r="CS263" s="168">
        <f t="shared" si="258"/>
        <v>0</v>
      </c>
      <c r="CT263" s="149">
        <f t="shared" si="259"/>
        <v>0</v>
      </c>
      <c r="CU263" s="149">
        <f t="shared" si="260"/>
        <v>0</v>
      </c>
      <c r="CV263" s="157">
        <f t="shared" si="261"/>
        <v>0</v>
      </c>
      <c r="CW263" s="160">
        <f t="shared" si="262"/>
        <v>0</v>
      </c>
      <c r="CX263" s="150">
        <f t="shared" si="263"/>
        <v>0</v>
      </c>
      <c r="CY263" s="150">
        <f t="shared" si="264"/>
        <v>0</v>
      </c>
      <c r="CZ263" s="176">
        <f t="shared" si="265"/>
        <v>0</v>
      </c>
      <c r="DA263" s="168">
        <f t="shared" si="266"/>
        <v>0</v>
      </c>
      <c r="DB263" s="149">
        <f t="shared" si="267"/>
        <v>0</v>
      </c>
      <c r="DC263" s="149">
        <f t="shared" si="268"/>
        <v>0</v>
      </c>
      <c r="DD263" s="157">
        <f t="shared" si="269"/>
        <v>0</v>
      </c>
    </row>
    <row r="264" spans="2:108" x14ac:dyDescent="0.2">
      <c r="B264" s="182" t="s">
        <v>397</v>
      </c>
      <c r="C264" s="556">
        <v>7</v>
      </c>
      <c r="D264" s="168">
        <v>200000</v>
      </c>
      <c r="E264" s="149">
        <v>0</v>
      </c>
      <c r="F264" s="149">
        <v>0</v>
      </c>
      <c r="G264" s="149">
        <v>0</v>
      </c>
      <c r="H264" s="168">
        <f t="shared" si="169"/>
        <v>221629.86037558445</v>
      </c>
      <c r="I264" s="610">
        <f t="shared" si="170"/>
        <v>0</v>
      </c>
      <c r="J264" s="610">
        <f t="shared" si="171"/>
        <v>0</v>
      </c>
      <c r="K264" s="610">
        <f t="shared" si="172"/>
        <v>0</v>
      </c>
      <c r="L264" s="610">
        <f t="shared" si="173"/>
        <v>0</v>
      </c>
      <c r="M264" s="610">
        <f t="shared" si="174"/>
        <v>0</v>
      </c>
      <c r="N264" s="610">
        <f t="shared" si="175"/>
        <v>0</v>
      </c>
      <c r="O264" s="610">
        <f t="shared" si="176"/>
        <v>221629.86037558445</v>
      </c>
      <c r="P264" s="610">
        <f t="shared" si="177"/>
        <v>0</v>
      </c>
      <c r="Q264" s="610">
        <f t="shared" si="178"/>
        <v>0</v>
      </c>
      <c r="R264" s="610">
        <f t="shared" si="179"/>
        <v>0</v>
      </c>
      <c r="S264" s="610">
        <f t="shared" si="180"/>
        <v>0</v>
      </c>
      <c r="T264" s="610">
        <f t="shared" si="181"/>
        <v>0</v>
      </c>
      <c r="U264" s="610">
        <f t="shared" si="182"/>
        <v>0</v>
      </c>
      <c r="V264" s="610">
        <f t="shared" si="183"/>
        <v>0</v>
      </c>
      <c r="W264" s="610">
        <f t="shared" si="184"/>
        <v>0</v>
      </c>
      <c r="X264" s="610">
        <f t="shared" si="185"/>
        <v>0</v>
      </c>
      <c r="Y264" s="610">
        <f t="shared" si="186"/>
        <v>0</v>
      </c>
      <c r="Z264" s="610">
        <f t="shared" si="187"/>
        <v>0</v>
      </c>
      <c r="AA264" s="610">
        <f t="shared" si="188"/>
        <v>0</v>
      </c>
      <c r="AB264" s="611">
        <f t="shared" si="189"/>
        <v>0</v>
      </c>
      <c r="AC264" s="160">
        <f t="shared" si="190"/>
        <v>0</v>
      </c>
      <c r="AD264" s="150">
        <f t="shared" si="191"/>
        <v>0</v>
      </c>
      <c r="AE264" s="150">
        <f t="shared" si="192"/>
        <v>0</v>
      </c>
      <c r="AF264" s="165">
        <f t="shared" si="193"/>
        <v>0</v>
      </c>
      <c r="AG264" s="168">
        <f t="shared" si="194"/>
        <v>0</v>
      </c>
      <c r="AH264" s="149">
        <f t="shared" si="195"/>
        <v>0</v>
      </c>
      <c r="AI264" s="149">
        <f t="shared" si="196"/>
        <v>0</v>
      </c>
      <c r="AJ264" s="171">
        <f t="shared" si="197"/>
        <v>0</v>
      </c>
      <c r="AK264" s="160">
        <f t="shared" si="198"/>
        <v>0</v>
      </c>
      <c r="AL264" s="150">
        <f t="shared" si="199"/>
        <v>0</v>
      </c>
      <c r="AM264" s="150">
        <f t="shared" si="200"/>
        <v>0</v>
      </c>
      <c r="AN264" s="165">
        <f t="shared" si="201"/>
        <v>0</v>
      </c>
      <c r="AO264" s="168">
        <f t="shared" si="202"/>
        <v>0</v>
      </c>
      <c r="AP264" s="149">
        <f t="shared" si="203"/>
        <v>0</v>
      </c>
      <c r="AQ264" s="149">
        <f t="shared" si="204"/>
        <v>0</v>
      </c>
      <c r="AR264" s="157">
        <f t="shared" si="205"/>
        <v>0</v>
      </c>
      <c r="AS264" s="160">
        <f t="shared" si="206"/>
        <v>0</v>
      </c>
      <c r="AT264" s="150">
        <f t="shared" si="207"/>
        <v>0</v>
      </c>
      <c r="AU264" s="150">
        <f t="shared" si="208"/>
        <v>0</v>
      </c>
      <c r="AV264" s="165">
        <f t="shared" si="209"/>
        <v>0</v>
      </c>
      <c r="AW264" s="168">
        <f t="shared" si="210"/>
        <v>0</v>
      </c>
      <c r="AX264" s="149">
        <f t="shared" si="211"/>
        <v>0</v>
      </c>
      <c r="AY264" s="149">
        <f t="shared" si="212"/>
        <v>0</v>
      </c>
      <c r="AZ264" s="157">
        <f t="shared" si="213"/>
        <v>0</v>
      </c>
      <c r="BA264" s="160">
        <f t="shared" si="214"/>
        <v>245974.773084974</v>
      </c>
      <c r="BB264" s="150">
        <f t="shared" si="215"/>
        <v>0</v>
      </c>
      <c r="BC264" s="150">
        <f t="shared" si="216"/>
        <v>0</v>
      </c>
      <c r="BD264" s="176">
        <f t="shared" si="217"/>
        <v>0</v>
      </c>
      <c r="BE264" s="168">
        <f t="shared" si="218"/>
        <v>0</v>
      </c>
      <c r="BF264" s="149">
        <f t="shared" si="219"/>
        <v>0</v>
      </c>
      <c r="BG264" s="149">
        <f t="shared" si="220"/>
        <v>0</v>
      </c>
      <c r="BH264" s="171">
        <f t="shared" si="221"/>
        <v>0</v>
      </c>
      <c r="BI264" s="160">
        <f t="shared" si="222"/>
        <v>0</v>
      </c>
      <c r="BJ264" s="150">
        <f t="shared" si="223"/>
        <v>0</v>
      </c>
      <c r="BK264" s="150">
        <f t="shared" si="224"/>
        <v>0</v>
      </c>
      <c r="BL264" s="176">
        <f t="shared" si="225"/>
        <v>0</v>
      </c>
      <c r="BM264" s="168">
        <f t="shared" si="226"/>
        <v>0</v>
      </c>
      <c r="BN264" s="149">
        <f t="shared" si="227"/>
        <v>0</v>
      </c>
      <c r="BO264" s="149">
        <f t="shared" si="228"/>
        <v>0</v>
      </c>
      <c r="BP264" s="157">
        <f t="shared" si="229"/>
        <v>0</v>
      </c>
      <c r="BQ264" s="160">
        <f t="shared" si="230"/>
        <v>0</v>
      </c>
      <c r="BR264" s="150">
        <f t="shared" si="231"/>
        <v>0</v>
      </c>
      <c r="BS264" s="150">
        <f t="shared" si="232"/>
        <v>0</v>
      </c>
      <c r="BT264" s="176">
        <f t="shared" si="233"/>
        <v>0</v>
      </c>
      <c r="BU264" s="168">
        <f t="shared" si="234"/>
        <v>0</v>
      </c>
      <c r="BV264" s="149">
        <f t="shared" si="235"/>
        <v>0</v>
      </c>
      <c r="BW264" s="149">
        <f t="shared" si="236"/>
        <v>0</v>
      </c>
      <c r="BX264" s="157">
        <f t="shared" si="237"/>
        <v>0</v>
      </c>
      <c r="BY264" s="160">
        <f t="shared" si="238"/>
        <v>0</v>
      </c>
      <c r="BZ264" s="150">
        <f t="shared" si="239"/>
        <v>0</v>
      </c>
      <c r="CA264" s="150">
        <f t="shared" si="240"/>
        <v>0</v>
      </c>
      <c r="CB264" s="176">
        <f t="shared" si="241"/>
        <v>0</v>
      </c>
      <c r="CC264" s="168">
        <f t="shared" si="242"/>
        <v>0</v>
      </c>
      <c r="CD264" s="149">
        <f t="shared" si="243"/>
        <v>0</v>
      </c>
      <c r="CE264" s="149">
        <f t="shared" si="244"/>
        <v>0</v>
      </c>
      <c r="CF264" s="157">
        <f t="shared" si="245"/>
        <v>0</v>
      </c>
      <c r="CG264" s="160">
        <f t="shared" si="246"/>
        <v>0</v>
      </c>
      <c r="CH264" s="150">
        <f t="shared" si="247"/>
        <v>0</v>
      </c>
      <c r="CI264" s="150">
        <f t="shared" si="248"/>
        <v>0</v>
      </c>
      <c r="CJ264" s="176">
        <f t="shared" si="249"/>
        <v>0</v>
      </c>
      <c r="CK264" s="168">
        <f t="shared" si="250"/>
        <v>0</v>
      </c>
      <c r="CL264" s="149">
        <f t="shared" si="251"/>
        <v>0</v>
      </c>
      <c r="CM264" s="149">
        <f t="shared" si="252"/>
        <v>0</v>
      </c>
      <c r="CN264" s="157">
        <f t="shared" si="253"/>
        <v>0</v>
      </c>
      <c r="CO264" s="160">
        <f t="shared" si="254"/>
        <v>0</v>
      </c>
      <c r="CP264" s="150">
        <f t="shared" si="255"/>
        <v>0</v>
      </c>
      <c r="CQ264" s="150">
        <f t="shared" si="256"/>
        <v>0</v>
      </c>
      <c r="CR264" s="176">
        <f t="shared" si="257"/>
        <v>0</v>
      </c>
      <c r="CS264" s="168">
        <f t="shared" si="258"/>
        <v>0</v>
      </c>
      <c r="CT264" s="149">
        <f t="shared" si="259"/>
        <v>0</v>
      </c>
      <c r="CU264" s="149">
        <f t="shared" si="260"/>
        <v>0</v>
      </c>
      <c r="CV264" s="157">
        <f t="shared" si="261"/>
        <v>0</v>
      </c>
      <c r="CW264" s="160">
        <f t="shared" si="262"/>
        <v>0</v>
      </c>
      <c r="CX264" s="150">
        <f t="shared" si="263"/>
        <v>0</v>
      </c>
      <c r="CY264" s="150">
        <f t="shared" si="264"/>
        <v>0</v>
      </c>
      <c r="CZ264" s="176">
        <f t="shared" si="265"/>
        <v>0</v>
      </c>
      <c r="DA264" s="168">
        <f t="shared" si="266"/>
        <v>0</v>
      </c>
      <c r="DB264" s="149">
        <f t="shared" si="267"/>
        <v>0</v>
      </c>
      <c r="DC264" s="149">
        <f t="shared" si="268"/>
        <v>0</v>
      </c>
      <c r="DD264" s="157">
        <f t="shared" si="269"/>
        <v>0</v>
      </c>
    </row>
    <row r="265" spans="2:108" x14ac:dyDescent="0.2">
      <c r="B265" s="182" t="s">
        <v>398</v>
      </c>
      <c r="C265" s="556">
        <v>8</v>
      </c>
      <c r="D265" s="168">
        <v>200000</v>
      </c>
      <c r="E265" s="149">
        <v>0</v>
      </c>
      <c r="F265" s="149">
        <v>0</v>
      </c>
      <c r="G265" s="149">
        <v>0</v>
      </c>
      <c r="H265" s="168">
        <f t="shared" si="169"/>
        <v>224905.17850921379</v>
      </c>
      <c r="I265" s="610">
        <f t="shared" si="170"/>
        <v>0</v>
      </c>
      <c r="J265" s="610">
        <f t="shared" si="171"/>
        <v>0</v>
      </c>
      <c r="K265" s="610">
        <f t="shared" si="172"/>
        <v>0</v>
      </c>
      <c r="L265" s="610">
        <f t="shared" si="173"/>
        <v>0</v>
      </c>
      <c r="M265" s="610">
        <f t="shared" si="174"/>
        <v>0</v>
      </c>
      <c r="N265" s="610">
        <f t="shared" si="175"/>
        <v>0</v>
      </c>
      <c r="O265" s="610">
        <f t="shared" si="176"/>
        <v>0</v>
      </c>
      <c r="P265" s="610">
        <f t="shared" si="177"/>
        <v>224905.17850921379</v>
      </c>
      <c r="Q265" s="610">
        <f t="shared" si="178"/>
        <v>0</v>
      </c>
      <c r="R265" s="610">
        <f t="shared" si="179"/>
        <v>0</v>
      </c>
      <c r="S265" s="610">
        <f t="shared" si="180"/>
        <v>0</v>
      </c>
      <c r="T265" s="610">
        <f t="shared" si="181"/>
        <v>0</v>
      </c>
      <c r="U265" s="610">
        <f t="shared" si="182"/>
        <v>0</v>
      </c>
      <c r="V265" s="610">
        <f t="shared" si="183"/>
        <v>0</v>
      </c>
      <c r="W265" s="610">
        <f t="shared" si="184"/>
        <v>0</v>
      </c>
      <c r="X265" s="610">
        <f t="shared" si="185"/>
        <v>0</v>
      </c>
      <c r="Y265" s="610">
        <f t="shared" si="186"/>
        <v>0</v>
      </c>
      <c r="Z265" s="610">
        <f t="shared" si="187"/>
        <v>0</v>
      </c>
      <c r="AA265" s="610">
        <f t="shared" si="188"/>
        <v>0</v>
      </c>
      <c r="AB265" s="611">
        <f t="shared" si="189"/>
        <v>0</v>
      </c>
      <c r="AC265" s="160">
        <f t="shared" si="190"/>
        <v>0</v>
      </c>
      <c r="AD265" s="150">
        <f t="shared" si="191"/>
        <v>0</v>
      </c>
      <c r="AE265" s="150">
        <f t="shared" si="192"/>
        <v>0</v>
      </c>
      <c r="AF265" s="165">
        <f t="shared" si="193"/>
        <v>0</v>
      </c>
      <c r="AG265" s="168">
        <f t="shared" si="194"/>
        <v>0</v>
      </c>
      <c r="AH265" s="149">
        <f t="shared" si="195"/>
        <v>0</v>
      </c>
      <c r="AI265" s="149">
        <f t="shared" si="196"/>
        <v>0</v>
      </c>
      <c r="AJ265" s="171">
        <f t="shared" si="197"/>
        <v>0</v>
      </c>
      <c r="AK265" s="160">
        <f t="shared" si="198"/>
        <v>0</v>
      </c>
      <c r="AL265" s="150">
        <f t="shared" si="199"/>
        <v>0</v>
      </c>
      <c r="AM265" s="150">
        <f t="shared" si="200"/>
        <v>0</v>
      </c>
      <c r="AN265" s="165">
        <f t="shared" si="201"/>
        <v>0</v>
      </c>
      <c r="AO265" s="168">
        <f t="shared" si="202"/>
        <v>0</v>
      </c>
      <c r="AP265" s="149">
        <f t="shared" si="203"/>
        <v>0</v>
      </c>
      <c r="AQ265" s="149">
        <f t="shared" si="204"/>
        <v>0</v>
      </c>
      <c r="AR265" s="157">
        <f t="shared" si="205"/>
        <v>0</v>
      </c>
      <c r="AS265" s="160">
        <f t="shared" si="206"/>
        <v>0</v>
      </c>
      <c r="AT265" s="150">
        <f t="shared" si="207"/>
        <v>0</v>
      </c>
      <c r="AU265" s="150">
        <f t="shared" si="208"/>
        <v>0</v>
      </c>
      <c r="AV265" s="165">
        <f t="shared" si="209"/>
        <v>0</v>
      </c>
      <c r="AW265" s="168">
        <f t="shared" si="210"/>
        <v>0</v>
      </c>
      <c r="AX265" s="149">
        <f t="shared" si="211"/>
        <v>0</v>
      </c>
      <c r="AY265" s="149">
        <f t="shared" si="212"/>
        <v>0</v>
      </c>
      <c r="AZ265" s="157">
        <f t="shared" si="213"/>
        <v>0</v>
      </c>
      <c r="BA265" s="160">
        <f t="shared" si="214"/>
        <v>0</v>
      </c>
      <c r="BB265" s="150">
        <f t="shared" si="215"/>
        <v>0</v>
      </c>
      <c r="BC265" s="150">
        <f t="shared" si="216"/>
        <v>0</v>
      </c>
      <c r="BD265" s="176">
        <f t="shared" si="217"/>
        <v>0</v>
      </c>
      <c r="BE265" s="168">
        <f t="shared" si="218"/>
        <v>253354.01627752319</v>
      </c>
      <c r="BF265" s="149">
        <f t="shared" si="219"/>
        <v>0</v>
      </c>
      <c r="BG265" s="149">
        <f t="shared" si="220"/>
        <v>0</v>
      </c>
      <c r="BH265" s="171">
        <f t="shared" si="221"/>
        <v>0</v>
      </c>
      <c r="BI265" s="160">
        <f t="shared" si="222"/>
        <v>0</v>
      </c>
      <c r="BJ265" s="150">
        <f t="shared" si="223"/>
        <v>0</v>
      </c>
      <c r="BK265" s="150">
        <f t="shared" si="224"/>
        <v>0</v>
      </c>
      <c r="BL265" s="176">
        <f t="shared" si="225"/>
        <v>0</v>
      </c>
      <c r="BM265" s="168">
        <f t="shared" si="226"/>
        <v>0</v>
      </c>
      <c r="BN265" s="149">
        <f t="shared" si="227"/>
        <v>0</v>
      </c>
      <c r="BO265" s="149">
        <f t="shared" si="228"/>
        <v>0</v>
      </c>
      <c r="BP265" s="157">
        <f t="shared" si="229"/>
        <v>0</v>
      </c>
      <c r="BQ265" s="160">
        <f t="shared" si="230"/>
        <v>0</v>
      </c>
      <c r="BR265" s="150">
        <f t="shared" si="231"/>
        <v>0</v>
      </c>
      <c r="BS265" s="150">
        <f t="shared" si="232"/>
        <v>0</v>
      </c>
      <c r="BT265" s="176">
        <f t="shared" si="233"/>
        <v>0</v>
      </c>
      <c r="BU265" s="168">
        <f t="shared" si="234"/>
        <v>0</v>
      </c>
      <c r="BV265" s="149">
        <f t="shared" si="235"/>
        <v>0</v>
      </c>
      <c r="BW265" s="149">
        <f t="shared" si="236"/>
        <v>0</v>
      </c>
      <c r="BX265" s="157">
        <f t="shared" si="237"/>
        <v>0</v>
      </c>
      <c r="BY265" s="160">
        <f t="shared" si="238"/>
        <v>0</v>
      </c>
      <c r="BZ265" s="150">
        <f t="shared" si="239"/>
        <v>0</v>
      </c>
      <c r="CA265" s="150">
        <f t="shared" si="240"/>
        <v>0</v>
      </c>
      <c r="CB265" s="176">
        <f t="shared" si="241"/>
        <v>0</v>
      </c>
      <c r="CC265" s="168">
        <f t="shared" si="242"/>
        <v>0</v>
      </c>
      <c r="CD265" s="149">
        <f t="shared" si="243"/>
        <v>0</v>
      </c>
      <c r="CE265" s="149">
        <f t="shared" si="244"/>
        <v>0</v>
      </c>
      <c r="CF265" s="157">
        <f t="shared" si="245"/>
        <v>0</v>
      </c>
      <c r="CG265" s="160">
        <f t="shared" si="246"/>
        <v>0</v>
      </c>
      <c r="CH265" s="150">
        <f t="shared" si="247"/>
        <v>0</v>
      </c>
      <c r="CI265" s="150">
        <f t="shared" si="248"/>
        <v>0</v>
      </c>
      <c r="CJ265" s="176">
        <f t="shared" si="249"/>
        <v>0</v>
      </c>
      <c r="CK265" s="168">
        <f t="shared" si="250"/>
        <v>0</v>
      </c>
      <c r="CL265" s="149">
        <f t="shared" si="251"/>
        <v>0</v>
      </c>
      <c r="CM265" s="149">
        <f t="shared" si="252"/>
        <v>0</v>
      </c>
      <c r="CN265" s="157">
        <f t="shared" si="253"/>
        <v>0</v>
      </c>
      <c r="CO265" s="160">
        <f t="shared" si="254"/>
        <v>0</v>
      </c>
      <c r="CP265" s="150">
        <f t="shared" si="255"/>
        <v>0</v>
      </c>
      <c r="CQ265" s="150">
        <f t="shared" si="256"/>
        <v>0</v>
      </c>
      <c r="CR265" s="176">
        <f t="shared" si="257"/>
        <v>0</v>
      </c>
      <c r="CS265" s="168">
        <f t="shared" si="258"/>
        <v>0</v>
      </c>
      <c r="CT265" s="149">
        <f t="shared" si="259"/>
        <v>0</v>
      </c>
      <c r="CU265" s="149">
        <f t="shared" si="260"/>
        <v>0</v>
      </c>
      <c r="CV265" s="157">
        <f t="shared" si="261"/>
        <v>0</v>
      </c>
      <c r="CW265" s="160">
        <f t="shared" si="262"/>
        <v>0</v>
      </c>
      <c r="CX265" s="150">
        <f t="shared" si="263"/>
        <v>0</v>
      </c>
      <c r="CY265" s="150">
        <f t="shared" si="264"/>
        <v>0</v>
      </c>
      <c r="CZ265" s="176">
        <f t="shared" si="265"/>
        <v>0</v>
      </c>
      <c r="DA265" s="168">
        <f t="shared" si="266"/>
        <v>0</v>
      </c>
      <c r="DB265" s="149">
        <f t="shared" si="267"/>
        <v>0</v>
      </c>
      <c r="DC265" s="149">
        <f t="shared" si="268"/>
        <v>0</v>
      </c>
      <c r="DD265" s="157">
        <f t="shared" si="269"/>
        <v>0</v>
      </c>
    </row>
    <row r="266" spans="2:108" x14ac:dyDescent="0.2">
      <c r="B266" s="182" t="s">
        <v>399</v>
      </c>
      <c r="C266" s="556">
        <v>9</v>
      </c>
      <c r="D266" s="168">
        <v>200000</v>
      </c>
      <c r="E266" s="149">
        <v>0</v>
      </c>
      <c r="F266" s="149">
        <v>0</v>
      </c>
      <c r="G266" s="149">
        <v>0</v>
      </c>
      <c r="H266" s="168">
        <f t="shared" si="169"/>
        <v>228228.90035910369</v>
      </c>
      <c r="I266" s="610">
        <f t="shared" si="170"/>
        <v>0</v>
      </c>
      <c r="J266" s="610">
        <f t="shared" si="171"/>
        <v>0</v>
      </c>
      <c r="K266" s="610">
        <f t="shared" si="172"/>
        <v>0</v>
      </c>
      <c r="L266" s="610">
        <f t="shared" si="173"/>
        <v>0</v>
      </c>
      <c r="M266" s="610">
        <f t="shared" si="174"/>
        <v>0</v>
      </c>
      <c r="N266" s="610">
        <f t="shared" si="175"/>
        <v>0</v>
      </c>
      <c r="O266" s="610">
        <f t="shared" si="176"/>
        <v>0</v>
      </c>
      <c r="P266" s="610">
        <f t="shared" si="177"/>
        <v>0</v>
      </c>
      <c r="Q266" s="610">
        <f t="shared" si="178"/>
        <v>228228.90035910369</v>
      </c>
      <c r="R266" s="610">
        <f t="shared" si="179"/>
        <v>0</v>
      </c>
      <c r="S266" s="610">
        <f t="shared" si="180"/>
        <v>0</v>
      </c>
      <c r="T266" s="610">
        <f t="shared" si="181"/>
        <v>0</v>
      </c>
      <c r="U266" s="610">
        <f t="shared" si="182"/>
        <v>0</v>
      </c>
      <c r="V266" s="610">
        <f t="shared" si="183"/>
        <v>0</v>
      </c>
      <c r="W266" s="610">
        <f t="shared" si="184"/>
        <v>0</v>
      </c>
      <c r="X266" s="610">
        <f t="shared" si="185"/>
        <v>0</v>
      </c>
      <c r="Y266" s="610">
        <f t="shared" si="186"/>
        <v>0</v>
      </c>
      <c r="Z266" s="610">
        <f t="shared" si="187"/>
        <v>0</v>
      </c>
      <c r="AA266" s="610">
        <f t="shared" si="188"/>
        <v>0</v>
      </c>
      <c r="AB266" s="611">
        <f t="shared" si="189"/>
        <v>0</v>
      </c>
      <c r="AC266" s="160">
        <f t="shared" si="190"/>
        <v>0</v>
      </c>
      <c r="AD266" s="150">
        <f t="shared" si="191"/>
        <v>0</v>
      </c>
      <c r="AE266" s="150">
        <f t="shared" si="192"/>
        <v>0</v>
      </c>
      <c r="AF266" s="165">
        <f t="shared" si="193"/>
        <v>0</v>
      </c>
      <c r="AG266" s="168">
        <f t="shared" si="194"/>
        <v>0</v>
      </c>
      <c r="AH266" s="149">
        <f t="shared" si="195"/>
        <v>0</v>
      </c>
      <c r="AI266" s="149">
        <f t="shared" si="196"/>
        <v>0</v>
      </c>
      <c r="AJ266" s="171">
        <f t="shared" si="197"/>
        <v>0</v>
      </c>
      <c r="AK266" s="160">
        <f t="shared" si="198"/>
        <v>0</v>
      </c>
      <c r="AL266" s="150">
        <f t="shared" si="199"/>
        <v>0</v>
      </c>
      <c r="AM266" s="150">
        <f t="shared" si="200"/>
        <v>0</v>
      </c>
      <c r="AN266" s="165">
        <f t="shared" si="201"/>
        <v>0</v>
      </c>
      <c r="AO266" s="168">
        <f t="shared" si="202"/>
        <v>0</v>
      </c>
      <c r="AP266" s="149">
        <f t="shared" si="203"/>
        <v>0</v>
      </c>
      <c r="AQ266" s="149">
        <f t="shared" si="204"/>
        <v>0</v>
      </c>
      <c r="AR266" s="157">
        <f t="shared" si="205"/>
        <v>0</v>
      </c>
      <c r="AS266" s="160">
        <f t="shared" si="206"/>
        <v>0</v>
      </c>
      <c r="AT266" s="150">
        <f t="shared" si="207"/>
        <v>0</v>
      </c>
      <c r="AU266" s="150">
        <f t="shared" si="208"/>
        <v>0</v>
      </c>
      <c r="AV266" s="165">
        <f t="shared" si="209"/>
        <v>0</v>
      </c>
      <c r="AW266" s="168">
        <f t="shared" si="210"/>
        <v>0</v>
      </c>
      <c r="AX266" s="149">
        <f t="shared" si="211"/>
        <v>0</v>
      </c>
      <c r="AY266" s="149">
        <f t="shared" si="212"/>
        <v>0</v>
      </c>
      <c r="AZ266" s="157">
        <f t="shared" si="213"/>
        <v>0</v>
      </c>
      <c r="BA266" s="160">
        <f t="shared" si="214"/>
        <v>0</v>
      </c>
      <c r="BB266" s="150">
        <f t="shared" si="215"/>
        <v>0</v>
      </c>
      <c r="BC266" s="150">
        <f t="shared" si="216"/>
        <v>0</v>
      </c>
      <c r="BD266" s="176">
        <f t="shared" si="217"/>
        <v>0</v>
      </c>
      <c r="BE266" s="168">
        <f t="shared" si="218"/>
        <v>0</v>
      </c>
      <c r="BF266" s="149">
        <f t="shared" si="219"/>
        <v>0</v>
      </c>
      <c r="BG266" s="149">
        <f t="shared" si="220"/>
        <v>0</v>
      </c>
      <c r="BH266" s="171">
        <f t="shared" si="221"/>
        <v>0</v>
      </c>
      <c r="BI266" s="160">
        <f t="shared" si="222"/>
        <v>260954.6367658489</v>
      </c>
      <c r="BJ266" s="150">
        <f t="shared" si="223"/>
        <v>0</v>
      </c>
      <c r="BK266" s="150">
        <f t="shared" si="224"/>
        <v>0</v>
      </c>
      <c r="BL266" s="176">
        <f t="shared" si="225"/>
        <v>0</v>
      </c>
      <c r="BM266" s="168">
        <f t="shared" si="226"/>
        <v>0</v>
      </c>
      <c r="BN266" s="149">
        <f t="shared" si="227"/>
        <v>0</v>
      </c>
      <c r="BO266" s="149">
        <f t="shared" si="228"/>
        <v>0</v>
      </c>
      <c r="BP266" s="157">
        <f t="shared" si="229"/>
        <v>0</v>
      </c>
      <c r="BQ266" s="160">
        <f t="shared" si="230"/>
        <v>0</v>
      </c>
      <c r="BR266" s="150">
        <f t="shared" si="231"/>
        <v>0</v>
      </c>
      <c r="BS266" s="150">
        <f t="shared" si="232"/>
        <v>0</v>
      </c>
      <c r="BT266" s="176">
        <f t="shared" si="233"/>
        <v>0</v>
      </c>
      <c r="BU266" s="168">
        <f t="shared" si="234"/>
        <v>0</v>
      </c>
      <c r="BV266" s="149">
        <f t="shared" si="235"/>
        <v>0</v>
      </c>
      <c r="BW266" s="149">
        <f t="shared" si="236"/>
        <v>0</v>
      </c>
      <c r="BX266" s="157">
        <f t="shared" si="237"/>
        <v>0</v>
      </c>
      <c r="BY266" s="160">
        <f t="shared" si="238"/>
        <v>0</v>
      </c>
      <c r="BZ266" s="150">
        <f t="shared" si="239"/>
        <v>0</v>
      </c>
      <c r="CA266" s="150">
        <f t="shared" si="240"/>
        <v>0</v>
      </c>
      <c r="CB266" s="176">
        <f t="shared" si="241"/>
        <v>0</v>
      </c>
      <c r="CC266" s="168">
        <f t="shared" si="242"/>
        <v>0</v>
      </c>
      <c r="CD266" s="149">
        <f t="shared" si="243"/>
        <v>0</v>
      </c>
      <c r="CE266" s="149">
        <f t="shared" si="244"/>
        <v>0</v>
      </c>
      <c r="CF266" s="157">
        <f t="shared" si="245"/>
        <v>0</v>
      </c>
      <c r="CG266" s="160">
        <f t="shared" si="246"/>
        <v>0</v>
      </c>
      <c r="CH266" s="150">
        <f t="shared" si="247"/>
        <v>0</v>
      </c>
      <c r="CI266" s="150">
        <f t="shared" si="248"/>
        <v>0</v>
      </c>
      <c r="CJ266" s="176">
        <f t="shared" si="249"/>
        <v>0</v>
      </c>
      <c r="CK266" s="168">
        <f t="shared" si="250"/>
        <v>0</v>
      </c>
      <c r="CL266" s="149">
        <f t="shared" si="251"/>
        <v>0</v>
      </c>
      <c r="CM266" s="149">
        <f t="shared" si="252"/>
        <v>0</v>
      </c>
      <c r="CN266" s="157">
        <f t="shared" si="253"/>
        <v>0</v>
      </c>
      <c r="CO266" s="160">
        <f t="shared" si="254"/>
        <v>0</v>
      </c>
      <c r="CP266" s="150">
        <f t="shared" si="255"/>
        <v>0</v>
      </c>
      <c r="CQ266" s="150">
        <f t="shared" si="256"/>
        <v>0</v>
      </c>
      <c r="CR266" s="176">
        <f t="shared" si="257"/>
        <v>0</v>
      </c>
      <c r="CS266" s="168">
        <f t="shared" si="258"/>
        <v>0</v>
      </c>
      <c r="CT266" s="149">
        <f t="shared" si="259"/>
        <v>0</v>
      </c>
      <c r="CU266" s="149">
        <f t="shared" si="260"/>
        <v>0</v>
      </c>
      <c r="CV266" s="157">
        <f t="shared" si="261"/>
        <v>0</v>
      </c>
      <c r="CW266" s="160">
        <f t="shared" si="262"/>
        <v>0</v>
      </c>
      <c r="CX266" s="150">
        <f t="shared" si="263"/>
        <v>0</v>
      </c>
      <c r="CY266" s="150">
        <f t="shared" si="264"/>
        <v>0</v>
      </c>
      <c r="CZ266" s="176">
        <f t="shared" si="265"/>
        <v>0</v>
      </c>
      <c r="DA266" s="168">
        <f t="shared" si="266"/>
        <v>0</v>
      </c>
      <c r="DB266" s="149">
        <f t="shared" si="267"/>
        <v>0</v>
      </c>
      <c r="DC266" s="149">
        <f t="shared" si="268"/>
        <v>0</v>
      </c>
      <c r="DD266" s="157">
        <f t="shared" si="269"/>
        <v>0</v>
      </c>
    </row>
    <row r="267" spans="2:108" x14ac:dyDescent="0.2">
      <c r="B267" s="182" t="s">
        <v>400</v>
      </c>
      <c r="C267" s="556">
        <v>10</v>
      </c>
      <c r="D267" s="168">
        <v>200000</v>
      </c>
      <c r="E267" s="149">
        <v>0</v>
      </c>
      <c r="F267" s="149">
        <v>0</v>
      </c>
      <c r="G267" s="149">
        <v>0</v>
      </c>
      <c r="H267" s="168">
        <f t="shared" si="169"/>
        <v>231601.74125111013</v>
      </c>
      <c r="I267" s="610">
        <f t="shared" si="170"/>
        <v>0</v>
      </c>
      <c r="J267" s="610">
        <f t="shared" si="171"/>
        <v>0</v>
      </c>
      <c r="K267" s="610">
        <f t="shared" si="172"/>
        <v>0</v>
      </c>
      <c r="L267" s="610">
        <f t="shared" si="173"/>
        <v>0</v>
      </c>
      <c r="M267" s="610">
        <f t="shared" si="174"/>
        <v>0</v>
      </c>
      <c r="N267" s="610">
        <f t="shared" si="175"/>
        <v>0</v>
      </c>
      <c r="O267" s="610">
        <f t="shared" si="176"/>
        <v>0</v>
      </c>
      <c r="P267" s="610">
        <f t="shared" si="177"/>
        <v>0</v>
      </c>
      <c r="Q267" s="610">
        <f t="shared" si="178"/>
        <v>0</v>
      </c>
      <c r="R267" s="610">
        <f t="shared" si="179"/>
        <v>231601.74125111013</v>
      </c>
      <c r="S267" s="610">
        <f t="shared" si="180"/>
        <v>0</v>
      </c>
      <c r="T267" s="610">
        <f t="shared" si="181"/>
        <v>0</v>
      </c>
      <c r="U267" s="610">
        <f t="shared" si="182"/>
        <v>0</v>
      </c>
      <c r="V267" s="610">
        <f t="shared" si="183"/>
        <v>0</v>
      </c>
      <c r="W267" s="610">
        <f t="shared" si="184"/>
        <v>0</v>
      </c>
      <c r="X267" s="610">
        <f t="shared" si="185"/>
        <v>0</v>
      </c>
      <c r="Y267" s="610">
        <f t="shared" si="186"/>
        <v>0</v>
      </c>
      <c r="Z267" s="610">
        <f t="shared" si="187"/>
        <v>0</v>
      </c>
      <c r="AA267" s="610">
        <f t="shared" si="188"/>
        <v>0</v>
      </c>
      <c r="AB267" s="611">
        <f t="shared" si="189"/>
        <v>0</v>
      </c>
      <c r="AC267" s="160">
        <f t="shared" si="190"/>
        <v>0</v>
      </c>
      <c r="AD267" s="150">
        <f t="shared" si="191"/>
        <v>0</v>
      </c>
      <c r="AE267" s="150">
        <f t="shared" si="192"/>
        <v>0</v>
      </c>
      <c r="AF267" s="165">
        <f t="shared" si="193"/>
        <v>0</v>
      </c>
      <c r="AG267" s="168">
        <f t="shared" si="194"/>
        <v>0</v>
      </c>
      <c r="AH267" s="149">
        <f t="shared" si="195"/>
        <v>0</v>
      </c>
      <c r="AI267" s="149">
        <f t="shared" si="196"/>
        <v>0</v>
      </c>
      <c r="AJ267" s="171">
        <f t="shared" si="197"/>
        <v>0</v>
      </c>
      <c r="AK267" s="160">
        <f t="shared" si="198"/>
        <v>0</v>
      </c>
      <c r="AL267" s="150">
        <f t="shared" si="199"/>
        <v>0</v>
      </c>
      <c r="AM267" s="150">
        <f t="shared" si="200"/>
        <v>0</v>
      </c>
      <c r="AN267" s="165">
        <f t="shared" si="201"/>
        <v>0</v>
      </c>
      <c r="AO267" s="168">
        <f t="shared" si="202"/>
        <v>0</v>
      </c>
      <c r="AP267" s="149">
        <f t="shared" si="203"/>
        <v>0</v>
      </c>
      <c r="AQ267" s="149">
        <f t="shared" si="204"/>
        <v>0</v>
      </c>
      <c r="AR267" s="157">
        <f t="shared" si="205"/>
        <v>0</v>
      </c>
      <c r="AS267" s="160">
        <f t="shared" si="206"/>
        <v>0</v>
      </c>
      <c r="AT267" s="150">
        <f t="shared" si="207"/>
        <v>0</v>
      </c>
      <c r="AU267" s="150">
        <f t="shared" si="208"/>
        <v>0</v>
      </c>
      <c r="AV267" s="165">
        <f t="shared" si="209"/>
        <v>0</v>
      </c>
      <c r="AW267" s="168">
        <f t="shared" si="210"/>
        <v>0</v>
      </c>
      <c r="AX267" s="149">
        <f t="shared" si="211"/>
        <v>0</v>
      </c>
      <c r="AY267" s="149">
        <f t="shared" si="212"/>
        <v>0</v>
      </c>
      <c r="AZ267" s="157">
        <f t="shared" si="213"/>
        <v>0</v>
      </c>
      <c r="BA267" s="160">
        <f t="shared" si="214"/>
        <v>0</v>
      </c>
      <c r="BB267" s="150">
        <f t="shared" si="215"/>
        <v>0</v>
      </c>
      <c r="BC267" s="150">
        <f t="shared" si="216"/>
        <v>0</v>
      </c>
      <c r="BD267" s="176">
        <f t="shared" si="217"/>
        <v>0</v>
      </c>
      <c r="BE267" s="168">
        <f t="shared" si="218"/>
        <v>0</v>
      </c>
      <c r="BF267" s="149">
        <f t="shared" si="219"/>
        <v>0</v>
      </c>
      <c r="BG267" s="149">
        <f t="shared" si="220"/>
        <v>0</v>
      </c>
      <c r="BH267" s="171">
        <f t="shared" si="221"/>
        <v>0</v>
      </c>
      <c r="BI267" s="160">
        <f t="shared" si="222"/>
        <v>0</v>
      </c>
      <c r="BJ267" s="150">
        <f t="shared" si="223"/>
        <v>0</v>
      </c>
      <c r="BK267" s="150">
        <f t="shared" si="224"/>
        <v>0</v>
      </c>
      <c r="BL267" s="176">
        <f t="shared" si="225"/>
        <v>0</v>
      </c>
      <c r="BM267" s="168">
        <f t="shared" si="226"/>
        <v>268783.27586882433</v>
      </c>
      <c r="BN267" s="149">
        <f t="shared" si="227"/>
        <v>0</v>
      </c>
      <c r="BO267" s="149">
        <f t="shared" si="228"/>
        <v>0</v>
      </c>
      <c r="BP267" s="157">
        <f t="shared" si="229"/>
        <v>0</v>
      </c>
      <c r="BQ267" s="160">
        <f t="shared" si="230"/>
        <v>0</v>
      </c>
      <c r="BR267" s="150">
        <f t="shared" si="231"/>
        <v>0</v>
      </c>
      <c r="BS267" s="150">
        <f t="shared" si="232"/>
        <v>0</v>
      </c>
      <c r="BT267" s="176">
        <f t="shared" si="233"/>
        <v>0</v>
      </c>
      <c r="BU267" s="168">
        <f t="shared" si="234"/>
        <v>0</v>
      </c>
      <c r="BV267" s="149">
        <f t="shared" si="235"/>
        <v>0</v>
      </c>
      <c r="BW267" s="149">
        <f t="shared" si="236"/>
        <v>0</v>
      </c>
      <c r="BX267" s="157">
        <f t="shared" si="237"/>
        <v>0</v>
      </c>
      <c r="BY267" s="160">
        <f t="shared" si="238"/>
        <v>0</v>
      </c>
      <c r="BZ267" s="150">
        <f t="shared" si="239"/>
        <v>0</v>
      </c>
      <c r="CA267" s="150">
        <f t="shared" si="240"/>
        <v>0</v>
      </c>
      <c r="CB267" s="176">
        <f t="shared" si="241"/>
        <v>0</v>
      </c>
      <c r="CC267" s="168">
        <f t="shared" si="242"/>
        <v>0</v>
      </c>
      <c r="CD267" s="149">
        <f t="shared" si="243"/>
        <v>0</v>
      </c>
      <c r="CE267" s="149">
        <f t="shared" si="244"/>
        <v>0</v>
      </c>
      <c r="CF267" s="157">
        <f t="shared" si="245"/>
        <v>0</v>
      </c>
      <c r="CG267" s="160">
        <f t="shared" si="246"/>
        <v>0</v>
      </c>
      <c r="CH267" s="150">
        <f t="shared" si="247"/>
        <v>0</v>
      </c>
      <c r="CI267" s="150">
        <f t="shared" si="248"/>
        <v>0</v>
      </c>
      <c r="CJ267" s="176">
        <f t="shared" si="249"/>
        <v>0</v>
      </c>
      <c r="CK267" s="168">
        <f t="shared" si="250"/>
        <v>0</v>
      </c>
      <c r="CL267" s="149">
        <f t="shared" si="251"/>
        <v>0</v>
      </c>
      <c r="CM267" s="149">
        <f t="shared" si="252"/>
        <v>0</v>
      </c>
      <c r="CN267" s="157">
        <f t="shared" si="253"/>
        <v>0</v>
      </c>
      <c r="CO267" s="160">
        <f t="shared" si="254"/>
        <v>0</v>
      </c>
      <c r="CP267" s="150">
        <f t="shared" si="255"/>
        <v>0</v>
      </c>
      <c r="CQ267" s="150">
        <f t="shared" si="256"/>
        <v>0</v>
      </c>
      <c r="CR267" s="176">
        <f t="shared" si="257"/>
        <v>0</v>
      </c>
      <c r="CS267" s="168">
        <f t="shared" si="258"/>
        <v>0</v>
      </c>
      <c r="CT267" s="149">
        <f t="shared" si="259"/>
        <v>0</v>
      </c>
      <c r="CU267" s="149">
        <f t="shared" si="260"/>
        <v>0</v>
      </c>
      <c r="CV267" s="157">
        <f t="shared" si="261"/>
        <v>0</v>
      </c>
      <c r="CW267" s="160">
        <f t="shared" si="262"/>
        <v>0</v>
      </c>
      <c r="CX267" s="150">
        <f t="shared" si="263"/>
        <v>0</v>
      </c>
      <c r="CY267" s="150">
        <f t="shared" si="264"/>
        <v>0</v>
      </c>
      <c r="CZ267" s="176">
        <f t="shared" si="265"/>
        <v>0</v>
      </c>
      <c r="DA267" s="168">
        <f t="shared" si="266"/>
        <v>0</v>
      </c>
      <c r="DB267" s="149">
        <f t="shared" si="267"/>
        <v>0</v>
      </c>
      <c r="DC267" s="149">
        <f t="shared" si="268"/>
        <v>0</v>
      </c>
      <c r="DD267" s="157">
        <f t="shared" si="269"/>
        <v>0</v>
      </c>
    </row>
    <row r="268" spans="2:108" x14ac:dyDescent="0.2">
      <c r="B268" s="182" t="s">
        <v>401</v>
      </c>
      <c r="C268" s="556">
        <v>11</v>
      </c>
      <c r="D268" s="168">
        <v>200000</v>
      </c>
      <c r="E268" s="149">
        <v>0</v>
      </c>
      <c r="F268" s="149">
        <v>0</v>
      </c>
      <c r="G268" s="149">
        <v>0</v>
      </c>
      <c r="H268" s="168">
        <f t="shared" ref="H268:H277" si="270">SUM(I268:AB268)</f>
        <v>235024.42708240738</v>
      </c>
      <c r="I268" s="610">
        <f t="shared" ref="I268:I277" si="271">-PV(InterestRate,I$8,,(SUM(AC268:AF268)))</f>
        <v>0</v>
      </c>
      <c r="J268" s="610">
        <f t="shared" ref="J268:J277" si="272">-PV(InterestRate,J$8,,(SUM(AG268:AJ268)))</f>
        <v>0</v>
      </c>
      <c r="K268" s="610">
        <f t="shared" ref="K268:K277" si="273">-PV(InterestRate,K$8,,(SUM(AK268:AN268)))</f>
        <v>0</v>
      </c>
      <c r="L268" s="610">
        <f t="shared" ref="L268:L277" si="274">-PV(InterestRate,L$8,,(SUM(AO268:AR268)))</f>
        <v>0</v>
      </c>
      <c r="M268" s="610">
        <f t="shared" ref="M268:M277" si="275">-PV(InterestRate,M$8,,(SUM(AS268:AV268)))</f>
        <v>0</v>
      </c>
      <c r="N268" s="610">
        <f t="shared" ref="N268:N277" si="276">-PV(InterestRate,N$8,,(SUM(AW268:AZ268)))</f>
        <v>0</v>
      </c>
      <c r="O268" s="610">
        <f t="shared" ref="O268:O277" si="277">-PV(InterestRate,O$8,,(SUM(BA268:BD268)))</f>
        <v>0</v>
      </c>
      <c r="P268" s="610">
        <f t="shared" ref="P268:P277" si="278">-PV(InterestRate,P$8,,(SUM(BE268:BH268)))</f>
        <v>0</v>
      </c>
      <c r="Q268" s="610">
        <f t="shared" ref="Q268:Q277" si="279">-PV(InterestRate,Q$8,,(SUM(BI268:BL268)))</f>
        <v>0</v>
      </c>
      <c r="R268" s="610">
        <f t="shared" ref="R268:R277" si="280">-PV(InterestRate,R$8,,(SUM(BM268:BP268)))</f>
        <v>0</v>
      </c>
      <c r="S268" s="610">
        <f t="shared" ref="S268:S277" si="281">-PV(InterestRate,S$8,,(SUM(BQ268:BT268)))</f>
        <v>235024.42708240738</v>
      </c>
      <c r="T268" s="610">
        <f t="shared" ref="T268:T277" si="282">-PV(InterestRate,T$8,,(SUM(BU268:BX268)))</f>
        <v>0</v>
      </c>
      <c r="U268" s="610">
        <f t="shared" ref="U268:U277" si="283">-PV(InterestRate,U$8,,(SUM(BY268:CB268)))</f>
        <v>0</v>
      </c>
      <c r="V268" s="610">
        <f t="shared" ref="V268:V277" si="284">-PV(InterestRate,V$8,,(SUM(CC268:CF268)))</f>
        <v>0</v>
      </c>
      <c r="W268" s="610">
        <f t="shared" ref="W268:W277" si="285">-PV(InterestRate,W$8,,(SUM(CG268:CJ268)))</f>
        <v>0</v>
      </c>
      <c r="X268" s="610">
        <f t="shared" ref="X268:X277" si="286">-PV(InterestRate,X$8,,(SUM(CK268:CN268)))</f>
        <v>0</v>
      </c>
      <c r="Y268" s="610">
        <f t="shared" ref="Y268:Y277" si="287">-PV(InterestRate,Y$8,,(SUM(CO268:CR268)))</f>
        <v>0</v>
      </c>
      <c r="Z268" s="610">
        <f t="shared" ref="Z268:Z277" si="288">-PV(InterestRate,Z$8,,(SUM(CS268:CV268)))</f>
        <v>0</v>
      </c>
      <c r="AA268" s="610">
        <f t="shared" ref="AA268:AA277" si="289">-PV(InterestRate,AA$8,,(SUM(CW268:CZ268)))</f>
        <v>0</v>
      </c>
      <c r="AB268" s="611">
        <f t="shared" ref="AB268:AB277" si="290">-PV(InterestRate,AB$8,,(SUM(DA268:DD268)))</f>
        <v>0</v>
      </c>
      <c r="AC268" s="160">
        <f t="shared" si="190"/>
        <v>0</v>
      </c>
      <c r="AD268" s="150">
        <f t="shared" si="191"/>
        <v>0</v>
      </c>
      <c r="AE268" s="150">
        <f t="shared" si="192"/>
        <v>0</v>
      </c>
      <c r="AF268" s="165">
        <f t="shared" si="193"/>
        <v>0</v>
      </c>
      <c r="AG268" s="168">
        <f t="shared" si="194"/>
        <v>0</v>
      </c>
      <c r="AH268" s="149">
        <f t="shared" si="195"/>
        <v>0</v>
      </c>
      <c r="AI268" s="149">
        <f t="shared" si="196"/>
        <v>0</v>
      </c>
      <c r="AJ268" s="171">
        <f t="shared" si="197"/>
        <v>0</v>
      </c>
      <c r="AK268" s="160">
        <f t="shared" si="198"/>
        <v>0</v>
      </c>
      <c r="AL268" s="150">
        <f t="shared" si="199"/>
        <v>0</v>
      </c>
      <c r="AM268" s="150">
        <f t="shared" si="200"/>
        <v>0</v>
      </c>
      <c r="AN268" s="165">
        <f t="shared" si="201"/>
        <v>0</v>
      </c>
      <c r="AO268" s="168">
        <f t="shared" si="202"/>
        <v>0</v>
      </c>
      <c r="AP268" s="149">
        <f t="shared" si="203"/>
        <v>0</v>
      </c>
      <c r="AQ268" s="149">
        <f t="shared" si="204"/>
        <v>0</v>
      </c>
      <c r="AR268" s="157">
        <f t="shared" si="205"/>
        <v>0</v>
      </c>
      <c r="AS268" s="160">
        <f t="shared" si="206"/>
        <v>0</v>
      </c>
      <c r="AT268" s="150">
        <f t="shared" si="207"/>
        <v>0</v>
      </c>
      <c r="AU268" s="150">
        <f t="shared" si="208"/>
        <v>0</v>
      </c>
      <c r="AV268" s="165">
        <f t="shared" si="209"/>
        <v>0</v>
      </c>
      <c r="AW268" s="168">
        <f t="shared" si="210"/>
        <v>0</v>
      </c>
      <c r="AX268" s="149">
        <f t="shared" si="211"/>
        <v>0</v>
      </c>
      <c r="AY268" s="149">
        <f t="shared" si="212"/>
        <v>0</v>
      </c>
      <c r="AZ268" s="157">
        <f t="shared" si="213"/>
        <v>0</v>
      </c>
      <c r="BA268" s="160">
        <f t="shared" si="214"/>
        <v>0</v>
      </c>
      <c r="BB268" s="150">
        <f t="shared" si="215"/>
        <v>0</v>
      </c>
      <c r="BC268" s="150">
        <f t="shared" si="216"/>
        <v>0</v>
      </c>
      <c r="BD268" s="176">
        <f t="shared" si="217"/>
        <v>0</v>
      </c>
      <c r="BE268" s="168">
        <f t="shared" si="218"/>
        <v>0</v>
      </c>
      <c r="BF268" s="149">
        <f t="shared" si="219"/>
        <v>0</v>
      </c>
      <c r="BG268" s="149">
        <f t="shared" si="220"/>
        <v>0</v>
      </c>
      <c r="BH268" s="171">
        <f t="shared" si="221"/>
        <v>0</v>
      </c>
      <c r="BI268" s="160">
        <f t="shared" si="222"/>
        <v>0</v>
      </c>
      <c r="BJ268" s="150">
        <f t="shared" si="223"/>
        <v>0</v>
      </c>
      <c r="BK268" s="150">
        <f t="shared" si="224"/>
        <v>0</v>
      </c>
      <c r="BL268" s="176">
        <f t="shared" si="225"/>
        <v>0</v>
      </c>
      <c r="BM268" s="168">
        <f t="shared" si="226"/>
        <v>0</v>
      </c>
      <c r="BN268" s="149">
        <f t="shared" si="227"/>
        <v>0</v>
      </c>
      <c r="BO268" s="149">
        <f t="shared" si="228"/>
        <v>0</v>
      </c>
      <c r="BP268" s="157">
        <f t="shared" si="229"/>
        <v>0</v>
      </c>
      <c r="BQ268" s="160">
        <f t="shared" si="230"/>
        <v>276846.77414488909</v>
      </c>
      <c r="BR268" s="150">
        <f t="shared" si="231"/>
        <v>0</v>
      </c>
      <c r="BS268" s="150">
        <f t="shared" si="232"/>
        <v>0</v>
      </c>
      <c r="BT268" s="176">
        <f t="shared" si="233"/>
        <v>0</v>
      </c>
      <c r="BU268" s="168">
        <f t="shared" si="234"/>
        <v>0</v>
      </c>
      <c r="BV268" s="149">
        <f t="shared" si="235"/>
        <v>0</v>
      </c>
      <c r="BW268" s="149">
        <f t="shared" si="236"/>
        <v>0</v>
      </c>
      <c r="BX268" s="157">
        <f t="shared" si="237"/>
        <v>0</v>
      </c>
      <c r="BY268" s="160">
        <f t="shared" si="238"/>
        <v>0</v>
      </c>
      <c r="BZ268" s="150">
        <f t="shared" si="239"/>
        <v>0</v>
      </c>
      <c r="CA268" s="150">
        <f t="shared" si="240"/>
        <v>0</v>
      </c>
      <c r="CB268" s="176">
        <f t="shared" si="241"/>
        <v>0</v>
      </c>
      <c r="CC268" s="168">
        <f t="shared" si="242"/>
        <v>0</v>
      </c>
      <c r="CD268" s="149">
        <f t="shared" si="243"/>
        <v>0</v>
      </c>
      <c r="CE268" s="149">
        <f t="shared" si="244"/>
        <v>0</v>
      </c>
      <c r="CF268" s="157">
        <f t="shared" si="245"/>
        <v>0</v>
      </c>
      <c r="CG268" s="160">
        <f t="shared" si="246"/>
        <v>0</v>
      </c>
      <c r="CH268" s="150">
        <f t="shared" si="247"/>
        <v>0</v>
      </c>
      <c r="CI268" s="150">
        <f t="shared" si="248"/>
        <v>0</v>
      </c>
      <c r="CJ268" s="176">
        <f t="shared" si="249"/>
        <v>0</v>
      </c>
      <c r="CK268" s="168">
        <f t="shared" si="250"/>
        <v>0</v>
      </c>
      <c r="CL268" s="149">
        <f t="shared" si="251"/>
        <v>0</v>
      </c>
      <c r="CM268" s="149">
        <f t="shared" si="252"/>
        <v>0</v>
      </c>
      <c r="CN268" s="157">
        <f t="shared" si="253"/>
        <v>0</v>
      </c>
      <c r="CO268" s="160">
        <f t="shared" si="254"/>
        <v>0</v>
      </c>
      <c r="CP268" s="150">
        <f t="shared" si="255"/>
        <v>0</v>
      </c>
      <c r="CQ268" s="150">
        <f t="shared" si="256"/>
        <v>0</v>
      </c>
      <c r="CR268" s="176">
        <f t="shared" si="257"/>
        <v>0</v>
      </c>
      <c r="CS268" s="168">
        <f t="shared" si="258"/>
        <v>0</v>
      </c>
      <c r="CT268" s="149">
        <f t="shared" si="259"/>
        <v>0</v>
      </c>
      <c r="CU268" s="149">
        <f t="shared" si="260"/>
        <v>0</v>
      </c>
      <c r="CV268" s="157">
        <f t="shared" si="261"/>
        <v>0</v>
      </c>
      <c r="CW268" s="160">
        <f t="shared" si="262"/>
        <v>0</v>
      </c>
      <c r="CX268" s="150">
        <f t="shared" si="263"/>
        <v>0</v>
      </c>
      <c r="CY268" s="150">
        <f t="shared" si="264"/>
        <v>0</v>
      </c>
      <c r="CZ268" s="176">
        <f t="shared" si="265"/>
        <v>0</v>
      </c>
      <c r="DA268" s="168">
        <f t="shared" si="266"/>
        <v>0</v>
      </c>
      <c r="DB268" s="149">
        <f t="shared" si="267"/>
        <v>0</v>
      </c>
      <c r="DC268" s="149">
        <f t="shared" si="268"/>
        <v>0</v>
      </c>
      <c r="DD268" s="157">
        <f t="shared" si="269"/>
        <v>0</v>
      </c>
    </row>
    <row r="269" spans="2:108" x14ac:dyDescent="0.2">
      <c r="B269" s="182" t="s">
        <v>402</v>
      </c>
      <c r="C269" s="556">
        <v>12</v>
      </c>
      <c r="D269" s="168">
        <v>200000</v>
      </c>
      <c r="E269" s="149">
        <v>0</v>
      </c>
      <c r="F269" s="149">
        <v>0</v>
      </c>
      <c r="G269" s="149">
        <v>0</v>
      </c>
      <c r="H269" s="168">
        <f t="shared" si="270"/>
        <v>238497.6944777139</v>
      </c>
      <c r="I269" s="610">
        <f t="shared" si="271"/>
        <v>0</v>
      </c>
      <c r="J269" s="610">
        <f t="shared" si="272"/>
        <v>0</v>
      </c>
      <c r="K269" s="610">
        <f t="shared" si="273"/>
        <v>0</v>
      </c>
      <c r="L269" s="610">
        <f t="shared" si="274"/>
        <v>0</v>
      </c>
      <c r="M269" s="610">
        <f t="shared" si="275"/>
        <v>0</v>
      </c>
      <c r="N269" s="610">
        <f t="shared" si="276"/>
        <v>0</v>
      </c>
      <c r="O269" s="610">
        <f t="shared" si="277"/>
        <v>0</v>
      </c>
      <c r="P269" s="610">
        <f t="shared" si="278"/>
        <v>0</v>
      </c>
      <c r="Q269" s="610">
        <f t="shared" si="279"/>
        <v>0</v>
      </c>
      <c r="R269" s="610">
        <f t="shared" si="280"/>
        <v>0</v>
      </c>
      <c r="S269" s="610">
        <f t="shared" si="281"/>
        <v>0</v>
      </c>
      <c r="T269" s="610">
        <f t="shared" si="282"/>
        <v>238497.6944777139</v>
      </c>
      <c r="U269" s="610">
        <f t="shared" si="283"/>
        <v>0</v>
      </c>
      <c r="V269" s="610">
        <f t="shared" si="284"/>
        <v>0</v>
      </c>
      <c r="W269" s="610">
        <f t="shared" si="285"/>
        <v>0</v>
      </c>
      <c r="X269" s="610">
        <f t="shared" si="286"/>
        <v>0</v>
      </c>
      <c r="Y269" s="610">
        <f t="shared" si="287"/>
        <v>0</v>
      </c>
      <c r="Z269" s="610">
        <f t="shared" si="288"/>
        <v>0</v>
      </c>
      <c r="AA269" s="610">
        <f t="shared" si="289"/>
        <v>0</v>
      </c>
      <c r="AB269" s="611">
        <f t="shared" si="290"/>
        <v>0</v>
      </c>
      <c r="AC269" s="160">
        <f t="shared" si="190"/>
        <v>0</v>
      </c>
      <c r="AD269" s="150">
        <f t="shared" si="191"/>
        <v>0</v>
      </c>
      <c r="AE269" s="150">
        <f t="shared" si="192"/>
        <v>0</v>
      </c>
      <c r="AF269" s="165">
        <f t="shared" si="193"/>
        <v>0</v>
      </c>
      <c r="AG269" s="168">
        <f t="shared" si="194"/>
        <v>0</v>
      </c>
      <c r="AH269" s="149">
        <f t="shared" si="195"/>
        <v>0</v>
      </c>
      <c r="AI269" s="149">
        <f t="shared" si="196"/>
        <v>0</v>
      </c>
      <c r="AJ269" s="171">
        <f t="shared" si="197"/>
        <v>0</v>
      </c>
      <c r="AK269" s="160">
        <f t="shared" si="198"/>
        <v>0</v>
      </c>
      <c r="AL269" s="150">
        <f t="shared" si="199"/>
        <v>0</v>
      </c>
      <c r="AM269" s="150">
        <f t="shared" si="200"/>
        <v>0</v>
      </c>
      <c r="AN269" s="165">
        <f t="shared" si="201"/>
        <v>0</v>
      </c>
      <c r="AO269" s="168">
        <f t="shared" si="202"/>
        <v>0</v>
      </c>
      <c r="AP269" s="149">
        <f t="shared" si="203"/>
        <v>0</v>
      </c>
      <c r="AQ269" s="149">
        <f t="shared" si="204"/>
        <v>0</v>
      </c>
      <c r="AR269" s="157">
        <f t="shared" si="205"/>
        <v>0</v>
      </c>
      <c r="AS269" s="160">
        <f t="shared" si="206"/>
        <v>0</v>
      </c>
      <c r="AT269" s="150">
        <f t="shared" si="207"/>
        <v>0</v>
      </c>
      <c r="AU269" s="150">
        <f t="shared" si="208"/>
        <v>0</v>
      </c>
      <c r="AV269" s="165">
        <f t="shared" si="209"/>
        <v>0</v>
      </c>
      <c r="AW269" s="168">
        <f t="shared" si="210"/>
        <v>0</v>
      </c>
      <c r="AX269" s="149">
        <f t="shared" si="211"/>
        <v>0</v>
      </c>
      <c r="AY269" s="149">
        <f t="shared" si="212"/>
        <v>0</v>
      </c>
      <c r="AZ269" s="157">
        <f t="shared" si="213"/>
        <v>0</v>
      </c>
      <c r="BA269" s="160">
        <f t="shared" si="214"/>
        <v>0</v>
      </c>
      <c r="BB269" s="150">
        <f t="shared" si="215"/>
        <v>0</v>
      </c>
      <c r="BC269" s="150">
        <f t="shared" si="216"/>
        <v>0</v>
      </c>
      <c r="BD269" s="176">
        <f t="shared" si="217"/>
        <v>0</v>
      </c>
      <c r="BE269" s="168">
        <f t="shared" si="218"/>
        <v>0</v>
      </c>
      <c r="BF269" s="149">
        <f t="shared" si="219"/>
        <v>0</v>
      </c>
      <c r="BG269" s="149">
        <f t="shared" si="220"/>
        <v>0</v>
      </c>
      <c r="BH269" s="171">
        <f t="shared" si="221"/>
        <v>0</v>
      </c>
      <c r="BI269" s="160">
        <f t="shared" si="222"/>
        <v>0</v>
      </c>
      <c r="BJ269" s="150">
        <f t="shared" si="223"/>
        <v>0</v>
      </c>
      <c r="BK269" s="150">
        <f t="shared" si="224"/>
        <v>0</v>
      </c>
      <c r="BL269" s="176">
        <f t="shared" si="225"/>
        <v>0</v>
      </c>
      <c r="BM269" s="168">
        <f t="shared" si="226"/>
        <v>0</v>
      </c>
      <c r="BN269" s="149">
        <f t="shared" si="227"/>
        <v>0</v>
      </c>
      <c r="BO269" s="149">
        <f t="shared" si="228"/>
        <v>0</v>
      </c>
      <c r="BP269" s="157">
        <f t="shared" si="229"/>
        <v>0</v>
      </c>
      <c r="BQ269" s="160">
        <f t="shared" si="230"/>
        <v>0</v>
      </c>
      <c r="BR269" s="150">
        <f t="shared" si="231"/>
        <v>0</v>
      </c>
      <c r="BS269" s="150">
        <f t="shared" si="232"/>
        <v>0</v>
      </c>
      <c r="BT269" s="176">
        <f t="shared" si="233"/>
        <v>0</v>
      </c>
      <c r="BU269" s="168">
        <f t="shared" si="234"/>
        <v>285152.17736923572</v>
      </c>
      <c r="BV269" s="149">
        <f t="shared" si="235"/>
        <v>0</v>
      </c>
      <c r="BW269" s="149">
        <f t="shared" si="236"/>
        <v>0</v>
      </c>
      <c r="BX269" s="157">
        <f t="shared" si="237"/>
        <v>0</v>
      </c>
      <c r="BY269" s="160">
        <f t="shared" si="238"/>
        <v>0</v>
      </c>
      <c r="BZ269" s="150">
        <f t="shared" si="239"/>
        <v>0</v>
      </c>
      <c r="CA269" s="150">
        <f t="shared" si="240"/>
        <v>0</v>
      </c>
      <c r="CB269" s="176">
        <f t="shared" si="241"/>
        <v>0</v>
      </c>
      <c r="CC269" s="168">
        <f t="shared" si="242"/>
        <v>0</v>
      </c>
      <c r="CD269" s="149">
        <f t="shared" si="243"/>
        <v>0</v>
      </c>
      <c r="CE269" s="149">
        <f t="shared" si="244"/>
        <v>0</v>
      </c>
      <c r="CF269" s="157">
        <f t="shared" si="245"/>
        <v>0</v>
      </c>
      <c r="CG269" s="160">
        <f t="shared" si="246"/>
        <v>0</v>
      </c>
      <c r="CH269" s="150">
        <f t="shared" si="247"/>
        <v>0</v>
      </c>
      <c r="CI269" s="150">
        <f t="shared" si="248"/>
        <v>0</v>
      </c>
      <c r="CJ269" s="176">
        <f t="shared" si="249"/>
        <v>0</v>
      </c>
      <c r="CK269" s="168">
        <f t="shared" si="250"/>
        <v>0</v>
      </c>
      <c r="CL269" s="149">
        <f t="shared" si="251"/>
        <v>0</v>
      </c>
      <c r="CM269" s="149">
        <f t="shared" si="252"/>
        <v>0</v>
      </c>
      <c r="CN269" s="157">
        <f t="shared" si="253"/>
        <v>0</v>
      </c>
      <c r="CO269" s="160">
        <f t="shared" si="254"/>
        <v>0</v>
      </c>
      <c r="CP269" s="150">
        <f t="shared" si="255"/>
        <v>0</v>
      </c>
      <c r="CQ269" s="150">
        <f t="shared" si="256"/>
        <v>0</v>
      </c>
      <c r="CR269" s="176">
        <f t="shared" si="257"/>
        <v>0</v>
      </c>
      <c r="CS269" s="168">
        <f t="shared" si="258"/>
        <v>0</v>
      </c>
      <c r="CT269" s="149">
        <f t="shared" si="259"/>
        <v>0</v>
      </c>
      <c r="CU269" s="149">
        <f t="shared" si="260"/>
        <v>0</v>
      </c>
      <c r="CV269" s="157">
        <f t="shared" si="261"/>
        <v>0</v>
      </c>
      <c r="CW269" s="160">
        <f t="shared" si="262"/>
        <v>0</v>
      </c>
      <c r="CX269" s="150">
        <f t="shared" si="263"/>
        <v>0</v>
      </c>
      <c r="CY269" s="150">
        <f t="shared" si="264"/>
        <v>0</v>
      </c>
      <c r="CZ269" s="176">
        <f t="shared" si="265"/>
        <v>0</v>
      </c>
      <c r="DA269" s="168">
        <f t="shared" si="266"/>
        <v>0</v>
      </c>
      <c r="DB269" s="149">
        <f t="shared" si="267"/>
        <v>0</v>
      </c>
      <c r="DC269" s="149">
        <f t="shared" si="268"/>
        <v>0</v>
      </c>
      <c r="DD269" s="157">
        <f t="shared" si="269"/>
        <v>0</v>
      </c>
    </row>
    <row r="270" spans="2:108" x14ac:dyDescent="0.2">
      <c r="B270" s="182" t="s">
        <v>403</v>
      </c>
      <c r="C270" s="556">
        <v>13</v>
      </c>
      <c r="D270" s="168">
        <v>200000</v>
      </c>
      <c r="E270" s="149">
        <v>0</v>
      </c>
      <c r="F270" s="149">
        <v>0</v>
      </c>
      <c r="G270" s="149">
        <v>0</v>
      </c>
      <c r="H270" s="168">
        <f t="shared" si="270"/>
        <v>242022.29094782792</v>
      </c>
      <c r="I270" s="610">
        <f t="shared" si="271"/>
        <v>0</v>
      </c>
      <c r="J270" s="610">
        <f t="shared" si="272"/>
        <v>0</v>
      </c>
      <c r="K270" s="610">
        <f t="shared" si="273"/>
        <v>0</v>
      </c>
      <c r="L270" s="610">
        <f t="shared" si="274"/>
        <v>0</v>
      </c>
      <c r="M270" s="610">
        <f t="shared" si="275"/>
        <v>0</v>
      </c>
      <c r="N270" s="610">
        <f t="shared" si="276"/>
        <v>0</v>
      </c>
      <c r="O270" s="610">
        <f t="shared" si="277"/>
        <v>0</v>
      </c>
      <c r="P270" s="610">
        <f t="shared" si="278"/>
        <v>0</v>
      </c>
      <c r="Q270" s="610">
        <f t="shared" si="279"/>
        <v>0</v>
      </c>
      <c r="R270" s="610">
        <f t="shared" si="280"/>
        <v>0</v>
      </c>
      <c r="S270" s="610">
        <f t="shared" si="281"/>
        <v>0</v>
      </c>
      <c r="T270" s="610">
        <f t="shared" si="282"/>
        <v>0</v>
      </c>
      <c r="U270" s="610">
        <f t="shared" si="283"/>
        <v>242022.29094782792</v>
      </c>
      <c r="V270" s="610">
        <f t="shared" si="284"/>
        <v>0</v>
      </c>
      <c r="W270" s="610">
        <f t="shared" si="285"/>
        <v>0</v>
      </c>
      <c r="X270" s="610">
        <f t="shared" si="286"/>
        <v>0</v>
      </c>
      <c r="Y270" s="610">
        <f t="shared" si="287"/>
        <v>0</v>
      </c>
      <c r="Z270" s="610">
        <f t="shared" si="288"/>
        <v>0</v>
      </c>
      <c r="AA270" s="610">
        <f t="shared" si="289"/>
        <v>0</v>
      </c>
      <c r="AB270" s="611">
        <f t="shared" si="290"/>
        <v>0</v>
      </c>
      <c r="AC270" s="160">
        <f t="shared" si="190"/>
        <v>0</v>
      </c>
      <c r="AD270" s="150">
        <f t="shared" si="191"/>
        <v>0</v>
      </c>
      <c r="AE270" s="150">
        <f t="shared" si="192"/>
        <v>0</v>
      </c>
      <c r="AF270" s="165">
        <f t="shared" si="193"/>
        <v>0</v>
      </c>
      <c r="AG270" s="168">
        <f t="shared" si="194"/>
        <v>0</v>
      </c>
      <c r="AH270" s="149">
        <f t="shared" si="195"/>
        <v>0</v>
      </c>
      <c r="AI270" s="149">
        <f t="shared" si="196"/>
        <v>0</v>
      </c>
      <c r="AJ270" s="171">
        <f t="shared" si="197"/>
        <v>0</v>
      </c>
      <c r="AK270" s="160">
        <f t="shared" si="198"/>
        <v>0</v>
      </c>
      <c r="AL270" s="150">
        <f t="shared" si="199"/>
        <v>0</v>
      </c>
      <c r="AM270" s="150">
        <f t="shared" si="200"/>
        <v>0</v>
      </c>
      <c r="AN270" s="165">
        <f t="shared" si="201"/>
        <v>0</v>
      </c>
      <c r="AO270" s="168">
        <f t="shared" si="202"/>
        <v>0</v>
      </c>
      <c r="AP270" s="149">
        <f t="shared" si="203"/>
        <v>0</v>
      </c>
      <c r="AQ270" s="149">
        <f t="shared" si="204"/>
        <v>0</v>
      </c>
      <c r="AR270" s="157">
        <f t="shared" si="205"/>
        <v>0</v>
      </c>
      <c r="AS270" s="160">
        <f t="shared" si="206"/>
        <v>0</v>
      </c>
      <c r="AT270" s="150">
        <f t="shared" si="207"/>
        <v>0</v>
      </c>
      <c r="AU270" s="150">
        <f t="shared" si="208"/>
        <v>0</v>
      </c>
      <c r="AV270" s="165">
        <f t="shared" si="209"/>
        <v>0</v>
      </c>
      <c r="AW270" s="168">
        <f t="shared" si="210"/>
        <v>0</v>
      </c>
      <c r="AX270" s="149">
        <f t="shared" si="211"/>
        <v>0</v>
      </c>
      <c r="AY270" s="149">
        <f t="shared" si="212"/>
        <v>0</v>
      </c>
      <c r="AZ270" s="157">
        <f t="shared" si="213"/>
        <v>0</v>
      </c>
      <c r="BA270" s="160">
        <f t="shared" si="214"/>
        <v>0</v>
      </c>
      <c r="BB270" s="150">
        <f t="shared" si="215"/>
        <v>0</v>
      </c>
      <c r="BC270" s="150">
        <f t="shared" si="216"/>
        <v>0</v>
      </c>
      <c r="BD270" s="176">
        <f t="shared" si="217"/>
        <v>0</v>
      </c>
      <c r="BE270" s="168">
        <f t="shared" si="218"/>
        <v>0</v>
      </c>
      <c r="BF270" s="149">
        <f t="shared" si="219"/>
        <v>0</v>
      </c>
      <c r="BG270" s="149">
        <f t="shared" si="220"/>
        <v>0</v>
      </c>
      <c r="BH270" s="171">
        <f t="shared" si="221"/>
        <v>0</v>
      </c>
      <c r="BI270" s="160">
        <f t="shared" si="222"/>
        <v>0</v>
      </c>
      <c r="BJ270" s="150">
        <f t="shared" si="223"/>
        <v>0</v>
      </c>
      <c r="BK270" s="150">
        <f t="shared" si="224"/>
        <v>0</v>
      </c>
      <c r="BL270" s="176">
        <f t="shared" si="225"/>
        <v>0</v>
      </c>
      <c r="BM270" s="168">
        <f t="shared" si="226"/>
        <v>0</v>
      </c>
      <c r="BN270" s="149">
        <f t="shared" si="227"/>
        <v>0</v>
      </c>
      <c r="BO270" s="149">
        <f t="shared" si="228"/>
        <v>0</v>
      </c>
      <c r="BP270" s="157">
        <f t="shared" si="229"/>
        <v>0</v>
      </c>
      <c r="BQ270" s="160">
        <f t="shared" si="230"/>
        <v>0</v>
      </c>
      <c r="BR270" s="150">
        <f t="shared" si="231"/>
        <v>0</v>
      </c>
      <c r="BS270" s="150">
        <f t="shared" si="232"/>
        <v>0</v>
      </c>
      <c r="BT270" s="176">
        <f t="shared" si="233"/>
        <v>0</v>
      </c>
      <c r="BU270" s="168">
        <f t="shared" si="234"/>
        <v>0</v>
      </c>
      <c r="BV270" s="149">
        <f t="shared" si="235"/>
        <v>0</v>
      </c>
      <c r="BW270" s="149">
        <f t="shared" si="236"/>
        <v>0</v>
      </c>
      <c r="BX270" s="157">
        <f t="shared" si="237"/>
        <v>0</v>
      </c>
      <c r="BY270" s="160">
        <f t="shared" si="238"/>
        <v>293706.74269031279</v>
      </c>
      <c r="BZ270" s="150">
        <f t="shared" si="239"/>
        <v>0</v>
      </c>
      <c r="CA270" s="150">
        <f t="shared" si="240"/>
        <v>0</v>
      </c>
      <c r="CB270" s="176">
        <f t="shared" si="241"/>
        <v>0</v>
      </c>
      <c r="CC270" s="168">
        <f t="shared" si="242"/>
        <v>0</v>
      </c>
      <c r="CD270" s="149">
        <f t="shared" si="243"/>
        <v>0</v>
      </c>
      <c r="CE270" s="149">
        <f t="shared" si="244"/>
        <v>0</v>
      </c>
      <c r="CF270" s="157">
        <f t="shared" si="245"/>
        <v>0</v>
      </c>
      <c r="CG270" s="160">
        <f t="shared" si="246"/>
        <v>0</v>
      </c>
      <c r="CH270" s="150">
        <f t="shared" si="247"/>
        <v>0</v>
      </c>
      <c r="CI270" s="150">
        <f t="shared" si="248"/>
        <v>0</v>
      </c>
      <c r="CJ270" s="176">
        <f t="shared" si="249"/>
        <v>0</v>
      </c>
      <c r="CK270" s="168">
        <f t="shared" si="250"/>
        <v>0</v>
      </c>
      <c r="CL270" s="149">
        <f t="shared" si="251"/>
        <v>0</v>
      </c>
      <c r="CM270" s="149">
        <f t="shared" si="252"/>
        <v>0</v>
      </c>
      <c r="CN270" s="157">
        <f t="shared" si="253"/>
        <v>0</v>
      </c>
      <c r="CO270" s="160">
        <f t="shared" si="254"/>
        <v>0</v>
      </c>
      <c r="CP270" s="150">
        <f t="shared" si="255"/>
        <v>0</v>
      </c>
      <c r="CQ270" s="150">
        <f t="shared" si="256"/>
        <v>0</v>
      </c>
      <c r="CR270" s="176">
        <f t="shared" si="257"/>
        <v>0</v>
      </c>
      <c r="CS270" s="168">
        <f t="shared" si="258"/>
        <v>0</v>
      </c>
      <c r="CT270" s="149">
        <f t="shared" si="259"/>
        <v>0</v>
      </c>
      <c r="CU270" s="149">
        <f t="shared" si="260"/>
        <v>0</v>
      </c>
      <c r="CV270" s="157">
        <f t="shared" si="261"/>
        <v>0</v>
      </c>
      <c r="CW270" s="160">
        <f t="shared" si="262"/>
        <v>0</v>
      </c>
      <c r="CX270" s="150">
        <f t="shared" si="263"/>
        <v>0</v>
      </c>
      <c r="CY270" s="150">
        <f t="shared" si="264"/>
        <v>0</v>
      </c>
      <c r="CZ270" s="176">
        <f t="shared" si="265"/>
        <v>0</v>
      </c>
      <c r="DA270" s="168">
        <f t="shared" si="266"/>
        <v>0</v>
      </c>
      <c r="DB270" s="149">
        <f t="shared" si="267"/>
        <v>0</v>
      </c>
      <c r="DC270" s="149">
        <f t="shared" si="268"/>
        <v>0</v>
      </c>
      <c r="DD270" s="157">
        <f t="shared" si="269"/>
        <v>0</v>
      </c>
    </row>
    <row r="271" spans="2:108" x14ac:dyDescent="0.2">
      <c r="B271" s="182" t="s">
        <v>404</v>
      </c>
      <c r="C271" s="556">
        <v>14</v>
      </c>
      <c r="D271" s="168">
        <v>200000</v>
      </c>
      <c r="E271" s="149">
        <v>0</v>
      </c>
      <c r="F271" s="149">
        <v>0</v>
      </c>
      <c r="G271" s="149">
        <v>0</v>
      </c>
      <c r="H271" s="168">
        <f t="shared" si="270"/>
        <v>245598.97505050525</v>
      </c>
      <c r="I271" s="610">
        <f t="shared" si="271"/>
        <v>0</v>
      </c>
      <c r="J271" s="610">
        <f t="shared" si="272"/>
        <v>0</v>
      </c>
      <c r="K271" s="610">
        <f t="shared" si="273"/>
        <v>0</v>
      </c>
      <c r="L271" s="610">
        <f t="shared" si="274"/>
        <v>0</v>
      </c>
      <c r="M271" s="610">
        <f t="shared" si="275"/>
        <v>0</v>
      </c>
      <c r="N271" s="610">
        <f t="shared" si="276"/>
        <v>0</v>
      </c>
      <c r="O271" s="610">
        <f t="shared" si="277"/>
        <v>0</v>
      </c>
      <c r="P271" s="610">
        <f t="shared" si="278"/>
        <v>0</v>
      </c>
      <c r="Q271" s="610">
        <f t="shared" si="279"/>
        <v>0</v>
      </c>
      <c r="R271" s="610">
        <f t="shared" si="280"/>
        <v>0</v>
      </c>
      <c r="S271" s="610">
        <f t="shared" si="281"/>
        <v>0</v>
      </c>
      <c r="T271" s="610">
        <f t="shared" si="282"/>
        <v>0</v>
      </c>
      <c r="U271" s="610">
        <f t="shared" si="283"/>
        <v>0</v>
      </c>
      <c r="V271" s="610">
        <f t="shared" si="284"/>
        <v>245598.97505050525</v>
      </c>
      <c r="W271" s="610">
        <f t="shared" si="285"/>
        <v>0</v>
      </c>
      <c r="X271" s="610">
        <f t="shared" si="286"/>
        <v>0</v>
      </c>
      <c r="Y271" s="610">
        <f t="shared" si="287"/>
        <v>0</v>
      </c>
      <c r="Z271" s="610">
        <f t="shared" si="288"/>
        <v>0</v>
      </c>
      <c r="AA271" s="610">
        <f t="shared" si="289"/>
        <v>0</v>
      </c>
      <c r="AB271" s="611">
        <f t="shared" si="290"/>
        <v>0</v>
      </c>
      <c r="AC271" s="160">
        <f t="shared" si="190"/>
        <v>0</v>
      </c>
      <c r="AD271" s="150">
        <f t="shared" si="191"/>
        <v>0</v>
      </c>
      <c r="AE271" s="150">
        <f t="shared" si="192"/>
        <v>0</v>
      </c>
      <c r="AF271" s="165">
        <f t="shared" si="193"/>
        <v>0</v>
      </c>
      <c r="AG271" s="168">
        <f t="shared" si="194"/>
        <v>0</v>
      </c>
      <c r="AH271" s="149">
        <f t="shared" si="195"/>
        <v>0</v>
      </c>
      <c r="AI271" s="149">
        <f t="shared" si="196"/>
        <v>0</v>
      </c>
      <c r="AJ271" s="171">
        <f t="shared" si="197"/>
        <v>0</v>
      </c>
      <c r="AK271" s="160">
        <f t="shared" si="198"/>
        <v>0</v>
      </c>
      <c r="AL271" s="150">
        <f t="shared" si="199"/>
        <v>0</v>
      </c>
      <c r="AM271" s="150">
        <f t="shared" si="200"/>
        <v>0</v>
      </c>
      <c r="AN271" s="165">
        <f t="shared" si="201"/>
        <v>0</v>
      </c>
      <c r="AO271" s="168">
        <f t="shared" si="202"/>
        <v>0</v>
      </c>
      <c r="AP271" s="149">
        <f t="shared" si="203"/>
        <v>0</v>
      </c>
      <c r="AQ271" s="149">
        <f t="shared" si="204"/>
        <v>0</v>
      </c>
      <c r="AR271" s="157">
        <f t="shared" si="205"/>
        <v>0</v>
      </c>
      <c r="AS271" s="160">
        <f t="shared" si="206"/>
        <v>0</v>
      </c>
      <c r="AT271" s="150">
        <f t="shared" si="207"/>
        <v>0</v>
      </c>
      <c r="AU271" s="150">
        <f t="shared" si="208"/>
        <v>0</v>
      </c>
      <c r="AV271" s="165">
        <f t="shared" si="209"/>
        <v>0</v>
      </c>
      <c r="AW271" s="168">
        <f t="shared" si="210"/>
        <v>0</v>
      </c>
      <c r="AX271" s="149">
        <f t="shared" si="211"/>
        <v>0</v>
      </c>
      <c r="AY271" s="149">
        <f t="shared" si="212"/>
        <v>0</v>
      </c>
      <c r="AZ271" s="157">
        <f t="shared" si="213"/>
        <v>0</v>
      </c>
      <c r="BA271" s="160">
        <f t="shared" si="214"/>
        <v>0</v>
      </c>
      <c r="BB271" s="150">
        <f t="shared" si="215"/>
        <v>0</v>
      </c>
      <c r="BC271" s="150">
        <f t="shared" si="216"/>
        <v>0</v>
      </c>
      <c r="BD271" s="176">
        <f t="shared" si="217"/>
        <v>0</v>
      </c>
      <c r="BE271" s="168">
        <f t="shared" si="218"/>
        <v>0</v>
      </c>
      <c r="BF271" s="149">
        <f t="shared" si="219"/>
        <v>0</v>
      </c>
      <c r="BG271" s="149">
        <f t="shared" si="220"/>
        <v>0</v>
      </c>
      <c r="BH271" s="171">
        <f t="shared" si="221"/>
        <v>0</v>
      </c>
      <c r="BI271" s="160">
        <f t="shared" si="222"/>
        <v>0</v>
      </c>
      <c r="BJ271" s="150">
        <f t="shared" si="223"/>
        <v>0</v>
      </c>
      <c r="BK271" s="150">
        <f t="shared" si="224"/>
        <v>0</v>
      </c>
      <c r="BL271" s="176">
        <f t="shared" si="225"/>
        <v>0</v>
      </c>
      <c r="BM271" s="168">
        <f t="shared" si="226"/>
        <v>0</v>
      </c>
      <c r="BN271" s="149">
        <f t="shared" si="227"/>
        <v>0</v>
      </c>
      <c r="BO271" s="149">
        <f t="shared" si="228"/>
        <v>0</v>
      </c>
      <c r="BP271" s="157">
        <f t="shared" si="229"/>
        <v>0</v>
      </c>
      <c r="BQ271" s="160">
        <f t="shared" si="230"/>
        <v>0</v>
      </c>
      <c r="BR271" s="150">
        <f t="shared" si="231"/>
        <v>0</v>
      </c>
      <c r="BS271" s="150">
        <f t="shared" si="232"/>
        <v>0</v>
      </c>
      <c r="BT271" s="176">
        <f t="shared" si="233"/>
        <v>0</v>
      </c>
      <c r="BU271" s="168">
        <f t="shared" si="234"/>
        <v>0</v>
      </c>
      <c r="BV271" s="149">
        <f t="shared" si="235"/>
        <v>0</v>
      </c>
      <c r="BW271" s="149">
        <f t="shared" si="236"/>
        <v>0</v>
      </c>
      <c r="BX271" s="157">
        <f t="shared" si="237"/>
        <v>0</v>
      </c>
      <c r="BY271" s="160">
        <f t="shared" si="238"/>
        <v>0</v>
      </c>
      <c r="BZ271" s="150">
        <f t="shared" si="239"/>
        <v>0</v>
      </c>
      <c r="CA271" s="150">
        <f t="shared" si="240"/>
        <v>0</v>
      </c>
      <c r="CB271" s="176">
        <f t="shared" si="241"/>
        <v>0</v>
      </c>
      <c r="CC271" s="168">
        <f t="shared" si="242"/>
        <v>302517.9449710222</v>
      </c>
      <c r="CD271" s="149">
        <f t="shared" si="243"/>
        <v>0</v>
      </c>
      <c r="CE271" s="149">
        <f t="shared" si="244"/>
        <v>0</v>
      </c>
      <c r="CF271" s="157">
        <f t="shared" si="245"/>
        <v>0</v>
      </c>
      <c r="CG271" s="160">
        <f t="shared" si="246"/>
        <v>0</v>
      </c>
      <c r="CH271" s="150">
        <f t="shared" si="247"/>
        <v>0</v>
      </c>
      <c r="CI271" s="150">
        <f t="shared" si="248"/>
        <v>0</v>
      </c>
      <c r="CJ271" s="176">
        <f t="shared" si="249"/>
        <v>0</v>
      </c>
      <c r="CK271" s="168">
        <f t="shared" si="250"/>
        <v>0</v>
      </c>
      <c r="CL271" s="149">
        <f t="shared" si="251"/>
        <v>0</v>
      </c>
      <c r="CM271" s="149">
        <f t="shared" si="252"/>
        <v>0</v>
      </c>
      <c r="CN271" s="157">
        <f t="shared" si="253"/>
        <v>0</v>
      </c>
      <c r="CO271" s="160">
        <f t="shared" si="254"/>
        <v>0</v>
      </c>
      <c r="CP271" s="150">
        <f t="shared" si="255"/>
        <v>0</v>
      </c>
      <c r="CQ271" s="150">
        <f t="shared" si="256"/>
        <v>0</v>
      </c>
      <c r="CR271" s="176">
        <f t="shared" si="257"/>
        <v>0</v>
      </c>
      <c r="CS271" s="168">
        <f t="shared" si="258"/>
        <v>0</v>
      </c>
      <c r="CT271" s="149">
        <f t="shared" si="259"/>
        <v>0</v>
      </c>
      <c r="CU271" s="149">
        <f t="shared" si="260"/>
        <v>0</v>
      </c>
      <c r="CV271" s="157">
        <f t="shared" si="261"/>
        <v>0</v>
      </c>
      <c r="CW271" s="160">
        <f t="shared" si="262"/>
        <v>0</v>
      </c>
      <c r="CX271" s="150">
        <f t="shared" si="263"/>
        <v>0</v>
      </c>
      <c r="CY271" s="150">
        <f t="shared" si="264"/>
        <v>0</v>
      </c>
      <c r="CZ271" s="176">
        <f t="shared" si="265"/>
        <v>0</v>
      </c>
      <c r="DA271" s="168">
        <f t="shared" si="266"/>
        <v>0</v>
      </c>
      <c r="DB271" s="149">
        <f t="shared" si="267"/>
        <v>0</v>
      </c>
      <c r="DC271" s="149">
        <f t="shared" si="268"/>
        <v>0</v>
      </c>
      <c r="DD271" s="157">
        <f t="shared" si="269"/>
        <v>0</v>
      </c>
    </row>
    <row r="272" spans="2:108" x14ac:dyDescent="0.2">
      <c r="B272" s="182" t="s">
        <v>405</v>
      </c>
      <c r="C272" s="556">
        <v>15</v>
      </c>
      <c r="D272" s="168">
        <v>200000</v>
      </c>
      <c r="E272" s="149">
        <v>0</v>
      </c>
      <c r="F272" s="149">
        <v>0</v>
      </c>
      <c r="G272" s="149">
        <v>0</v>
      </c>
      <c r="H272" s="168">
        <f t="shared" si="270"/>
        <v>249228.51655371475</v>
      </c>
      <c r="I272" s="610">
        <f t="shared" si="271"/>
        <v>0</v>
      </c>
      <c r="J272" s="610">
        <f t="shared" si="272"/>
        <v>0</v>
      </c>
      <c r="K272" s="610">
        <f t="shared" si="273"/>
        <v>0</v>
      </c>
      <c r="L272" s="610">
        <f t="shared" si="274"/>
        <v>0</v>
      </c>
      <c r="M272" s="610">
        <f t="shared" si="275"/>
        <v>0</v>
      </c>
      <c r="N272" s="610">
        <f t="shared" si="276"/>
        <v>0</v>
      </c>
      <c r="O272" s="610">
        <f t="shared" si="277"/>
        <v>0</v>
      </c>
      <c r="P272" s="610">
        <f t="shared" si="278"/>
        <v>0</v>
      </c>
      <c r="Q272" s="610">
        <f t="shared" si="279"/>
        <v>0</v>
      </c>
      <c r="R272" s="610">
        <f t="shared" si="280"/>
        <v>0</v>
      </c>
      <c r="S272" s="610">
        <f t="shared" si="281"/>
        <v>0</v>
      </c>
      <c r="T272" s="610">
        <f t="shared" si="282"/>
        <v>0</v>
      </c>
      <c r="U272" s="610">
        <f t="shared" si="283"/>
        <v>0</v>
      </c>
      <c r="V272" s="610">
        <f t="shared" si="284"/>
        <v>0</v>
      </c>
      <c r="W272" s="610">
        <f t="shared" si="285"/>
        <v>249228.51655371475</v>
      </c>
      <c r="X272" s="610">
        <f t="shared" si="286"/>
        <v>0</v>
      </c>
      <c r="Y272" s="610">
        <f t="shared" si="287"/>
        <v>0</v>
      </c>
      <c r="Z272" s="610">
        <f t="shared" si="288"/>
        <v>0</v>
      </c>
      <c r="AA272" s="610">
        <f t="shared" si="289"/>
        <v>0</v>
      </c>
      <c r="AB272" s="611">
        <f t="shared" si="290"/>
        <v>0</v>
      </c>
      <c r="AC272" s="160">
        <f t="shared" si="190"/>
        <v>0</v>
      </c>
      <c r="AD272" s="150">
        <f t="shared" si="191"/>
        <v>0</v>
      </c>
      <c r="AE272" s="150">
        <f t="shared" si="192"/>
        <v>0</v>
      </c>
      <c r="AF272" s="165">
        <f t="shared" si="193"/>
        <v>0</v>
      </c>
      <c r="AG272" s="168">
        <f t="shared" si="194"/>
        <v>0</v>
      </c>
      <c r="AH272" s="149">
        <f t="shared" si="195"/>
        <v>0</v>
      </c>
      <c r="AI272" s="149">
        <f t="shared" si="196"/>
        <v>0</v>
      </c>
      <c r="AJ272" s="171">
        <f t="shared" si="197"/>
        <v>0</v>
      </c>
      <c r="AK272" s="160">
        <f t="shared" si="198"/>
        <v>0</v>
      </c>
      <c r="AL272" s="150">
        <f t="shared" si="199"/>
        <v>0</v>
      </c>
      <c r="AM272" s="150">
        <f t="shared" si="200"/>
        <v>0</v>
      </c>
      <c r="AN272" s="165">
        <f t="shared" si="201"/>
        <v>0</v>
      </c>
      <c r="AO272" s="168">
        <f t="shared" si="202"/>
        <v>0</v>
      </c>
      <c r="AP272" s="149">
        <f t="shared" si="203"/>
        <v>0</v>
      </c>
      <c r="AQ272" s="149">
        <f t="shared" si="204"/>
        <v>0</v>
      </c>
      <c r="AR272" s="157">
        <f t="shared" si="205"/>
        <v>0</v>
      </c>
      <c r="AS272" s="160">
        <f t="shared" si="206"/>
        <v>0</v>
      </c>
      <c r="AT272" s="150">
        <f t="shared" si="207"/>
        <v>0</v>
      </c>
      <c r="AU272" s="150">
        <f t="shared" si="208"/>
        <v>0</v>
      </c>
      <c r="AV272" s="165">
        <f t="shared" si="209"/>
        <v>0</v>
      </c>
      <c r="AW272" s="168">
        <f t="shared" si="210"/>
        <v>0</v>
      </c>
      <c r="AX272" s="149">
        <f t="shared" si="211"/>
        <v>0</v>
      </c>
      <c r="AY272" s="149">
        <f t="shared" si="212"/>
        <v>0</v>
      </c>
      <c r="AZ272" s="157">
        <f t="shared" si="213"/>
        <v>0</v>
      </c>
      <c r="BA272" s="160">
        <f t="shared" si="214"/>
        <v>0</v>
      </c>
      <c r="BB272" s="150">
        <f t="shared" si="215"/>
        <v>0</v>
      </c>
      <c r="BC272" s="150">
        <f t="shared" si="216"/>
        <v>0</v>
      </c>
      <c r="BD272" s="176">
        <f t="shared" si="217"/>
        <v>0</v>
      </c>
      <c r="BE272" s="168">
        <f t="shared" si="218"/>
        <v>0</v>
      </c>
      <c r="BF272" s="149">
        <f t="shared" si="219"/>
        <v>0</v>
      </c>
      <c r="BG272" s="149">
        <f t="shared" si="220"/>
        <v>0</v>
      </c>
      <c r="BH272" s="171">
        <f t="shared" si="221"/>
        <v>0</v>
      </c>
      <c r="BI272" s="160">
        <f t="shared" si="222"/>
        <v>0</v>
      </c>
      <c r="BJ272" s="150">
        <f t="shared" si="223"/>
        <v>0</v>
      </c>
      <c r="BK272" s="150">
        <f t="shared" si="224"/>
        <v>0</v>
      </c>
      <c r="BL272" s="176">
        <f t="shared" si="225"/>
        <v>0</v>
      </c>
      <c r="BM272" s="168">
        <f t="shared" si="226"/>
        <v>0</v>
      </c>
      <c r="BN272" s="149">
        <f t="shared" si="227"/>
        <v>0</v>
      </c>
      <c r="BO272" s="149">
        <f t="shared" si="228"/>
        <v>0</v>
      </c>
      <c r="BP272" s="157">
        <f t="shared" si="229"/>
        <v>0</v>
      </c>
      <c r="BQ272" s="160">
        <f t="shared" si="230"/>
        <v>0</v>
      </c>
      <c r="BR272" s="150">
        <f t="shared" si="231"/>
        <v>0</v>
      </c>
      <c r="BS272" s="150">
        <f t="shared" si="232"/>
        <v>0</v>
      </c>
      <c r="BT272" s="176">
        <f t="shared" si="233"/>
        <v>0</v>
      </c>
      <c r="BU272" s="168">
        <f t="shared" si="234"/>
        <v>0</v>
      </c>
      <c r="BV272" s="149">
        <f t="shared" si="235"/>
        <v>0</v>
      </c>
      <c r="BW272" s="149">
        <f t="shared" si="236"/>
        <v>0</v>
      </c>
      <c r="BX272" s="157">
        <f t="shared" si="237"/>
        <v>0</v>
      </c>
      <c r="BY272" s="160">
        <f t="shared" si="238"/>
        <v>0</v>
      </c>
      <c r="BZ272" s="150">
        <f t="shared" si="239"/>
        <v>0</v>
      </c>
      <c r="CA272" s="150">
        <f t="shared" si="240"/>
        <v>0</v>
      </c>
      <c r="CB272" s="176">
        <f t="shared" si="241"/>
        <v>0</v>
      </c>
      <c r="CC272" s="168">
        <f t="shared" si="242"/>
        <v>0</v>
      </c>
      <c r="CD272" s="149">
        <f t="shared" si="243"/>
        <v>0</v>
      </c>
      <c r="CE272" s="149">
        <f t="shared" si="244"/>
        <v>0</v>
      </c>
      <c r="CF272" s="157">
        <f t="shared" si="245"/>
        <v>0</v>
      </c>
      <c r="CG272" s="160">
        <f t="shared" si="246"/>
        <v>311593.48332015291</v>
      </c>
      <c r="CH272" s="150">
        <f t="shared" si="247"/>
        <v>0</v>
      </c>
      <c r="CI272" s="150">
        <f t="shared" si="248"/>
        <v>0</v>
      </c>
      <c r="CJ272" s="176">
        <f t="shared" si="249"/>
        <v>0</v>
      </c>
      <c r="CK272" s="168">
        <f t="shared" si="250"/>
        <v>0</v>
      </c>
      <c r="CL272" s="149">
        <f t="shared" si="251"/>
        <v>0</v>
      </c>
      <c r="CM272" s="149">
        <f t="shared" si="252"/>
        <v>0</v>
      </c>
      <c r="CN272" s="157">
        <f t="shared" si="253"/>
        <v>0</v>
      </c>
      <c r="CO272" s="160">
        <f t="shared" si="254"/>
        <v>0</v>
      </c>
      <c r="CP272" s="150">
        <f t="shared" si="255"/>
        <v>0</v>
      </c>
      <c r="CQ272" s="150">
        <f t="shared" si="256"/>
        <v>0</v>
      </c>
      <c r="CR272" s="176">
        <f t="shared" si="257"/>
        <v>0</v>
      </c>
      <c r="CS272" s="168">
        <f t="shared" si="258"/>
        <v>0</v>
      </c>
      <c r="CT272" s="149">
        <f t="shared" si="259"/>
        <v>0</v>
      </c>
      <c r="CU272" s="149">
        <f t="shared" si="260"/>
        <v>0</v>
      </c>
      <c r="CV272" s="157">
        <f t="shared" si="261"/>
        <v>0</v>
      </c>
      <c r="CW272" s="160">
        <f t="shared" si="262"/>
        <v>0</v>
      </c>
      <c r="CX272" s="150">
        <f t="shared" si="263"/>
        <v>0</v>
      </c>
      <c r="CY272" s="150">
        <f t="shared" si="264"/>
        <v>0</v>
      </c>
      <c r="CZ272" s="176">
        <f t="shared" si="265"/>
        <v>0</v>
      </c>
      <c r="DA272" s="168">
        <f t="shared" si="266"/>
        <v>0</v>
      </c>
      <c r="DB272" s="149">
        <f t="shared" si="267"/>
        <v>0</v>
      </c>
      <c r="DC272" s="149">
        <f t="shared" si="268"/>
        <v>0</v>
      </c>
      <c r="DD272" s="157">
        <f t="shared" si="269"/>
        <v>0</v>
      </c>
    </row>
    <row r="273" spans="2:108" x14ac:dyDescent="0.2">
      <c r="B273" s="182" t="s">
        <v>406</v>
      </c>
      <c r="C273" s="556">
        <v>16</v>
      </c>
      <c r="D273" s="168">
        <v>200000</v>
      </c>
      <c r="E273" s="149">
        <v>0</v>
      </c>
      <c r="F273" s="149">
        <v>0</v>
      </c>
      <c r="G273" s="149">
        <v>0</v>
      </c>
      <c r="H273" s="168">
        <f t="shared" si="270"/>
        <v>252911.69660130658</v>
      </c>
      <c r="I273" s="610">
        <f t="shared" si="271"/>
        <v>0</v>
      </c>
      <c r="J273" s="610">
        <f t="shared" si="272"/>
        <v>0</v>
      </c>
      <c r="K273" s="610">
        <f t="shared" si="273"/>
        <v>0</v>
      </c>
      <c r="L273" s="610">
        <f t="shared" si="274"/>
        <v>0</v>
      </c>
      <c r="M273" s="610">
        <f t="shared" si="275"/>
        <v>0</v>
      </c>
      <c r="N273" s="610">
        <f t="shared" si="276"/>
        <v>0</v>
      </c>
      <c r="O273" s="610">
        <f t="shared" si="277"/>
        <v>0</v>
      </c>
      <c r="P273" s="610">
        <f t="shared" si="278"/>
        <v>0</v>
      </c>
      <c r="Q273" s="610">
        <f t="shared" si="279"/>
        <v>0</v>
      </c>
      <c r="R273" s="610">
        <f t="shared" si="280"/>
        <v>0</v>
      </c>
      <c r="S273" s="610">
        <f t="shared" si="281"/>
        <v>0</v>
      </c>
      <c r="T273" s="610">
        <f t="shared" si="282"/>
        <v>0</v>
      </c>
      <c r="U273" s="610">
        <f t="shared" si="283"/>
        <v>0</v>
      </c>
      <c r="V273" s="610">
        <f t="shared" si="284"/>
        <v>0</v>
      </c>
      <c r="W273" s="610">
        <f t="shared" si="285"/>
        <v>0</v>
      </c>
      <c r="X273" s="610">
        <f t="shared" si="286"/>
        <v>252911.69660130658</v>
      </c>
      <c r="Y273" s="610">
        <f t="shared" si="287"/>
        <v>0</v>
      </c>
      <c r="Z273" s="610">
        <f t="shared" si="288"/>
        <v>0</v>
      </c>
      <c r="AA273" s="610">
        <f t="shared" si="289"/>
        <v>0</v>
      </c>
      <c r="AB273" s="611">
        <f t="shared" si="290"/>
        <v>0</v>
      </c>
      <c r="AC273" s="160">
        <f t="shared" si="190"/>
        <v>0</v>
      </c>
      <c r="AD273" s="150">
        <f t="shared" si="191"/>
        <v>0</v>
      </c>
      <c r="AE273" s="150">
        <f t="shared" si="192"/>
        <v>0</v>
      </c>
      <c r="AF273" s="165">
        <f t="shared" si="193"/>
        <v>0</v>
      </c>
      <c r="AG273" s="168">
        <f t="shared" si="194"/>
        <v>0</v>
      </c>
      <c r="AH273" s="149">
        <f t="shared" si="195"/>
        <v>0</v>
      </c>
      <c r="AI273" s="149">
        <f t="shared" si="196"/>
        <v>0</v>
      </c>
      <c r="AJ273" s="171">
        <f t="shared" si="197"/>
        <v>0</v>
      </c>
      <c r="AK273" s="160">
        <f t="shared" si="198"/>
        <v>0</v>
      </c>
      <c r="AL273" s="150">
        <f t="shared" si="199"/>
        <v>0</v>
      </c>
      <c r="AM273" s="150">
        <f t="shared" si="200"/>
        <v>0</v>
      </c>
      <c r="AN273" s="165">
        <f t="shared" si="201"/>
        <v>0</v>
      </c>
      <c r="AO273" s="168">
        <f t="shared" si="202"/>
        <v>0</v>
      </c>
      <c r="AP273" s="149">
        <f t="shared" si="203"/>
        <v>0</v>
      </c>
      <c r="AQ273" s="149">
        <f t="shared" si="204"/>
        <v>0</v>
      </c>
      <c r="AR273" s="157">
        <f t="shared" si="205"/>
        <v>0</v>
      </c>
      <c r="AS273" s="160">
        <f t="shared" si="206"/>
        <v>0</v>
      </c>
      <c r="AT273" s="150">
        <f t="shared" si="207"/>
        <v>0</v>
      </c>
      <c r="AU273" s="150">
        <f t="shared" si="208"/>
        <v>0</v>
      </c>
      <c r="AV273" s="165">
        <f t="shared" si="209"/>
        <v>0</v>
      </c>
      <c r="AW273" s="168">
        <f t="shared" si="210"/>
        <v>0</v>
      </c>
      <c r="AX273" s="149">
        <f t="shared" si="211"/>
        <v>0</v>
      </c>
      <c r="AY273" s="149">
        <f t="shared" si="212"/>
        <v>0</v>
      </c>
      <c r="AZ273" s="157">
        <f t="shared" si="213"/>
        <v>0</v>
      </c>
      <c r="BA273" s="160">
        <f t="shared" si="214"/>
        <v>0</v>
      </c>
      <c r="BB273" s="150">
        <f t="shared" si="215"/>
        <v>0</v>
      </c>
      <c r="BC273" s="150">
        <f t="shared" si="216"/>
        <v>0</v>
      </c>
      <c r="BD273" s="176">
        <f t="shared" si="217"/>
        <v>0</v>
      </c>
      <c r="BE273" s="168">
        <f t="shared" si="218"/>
        <v>0</v>
      </c>
      <c r="BF273" s="149">
        <f t="shared" si="219"/>
        <v>0</v>
      </c>
      <c r="BG273" s="149">
        <f t="shared" si="220"/>
        <v>0</v>
      </c>
      <c r="BH273" s="171">
        <f t="shared" si="221"/>
        <v>0</v>
      </c>
      <c r="BI273" s="160">
        <f t="shared" si="222"/>
        <v>0</v>
      </c>
      <c r="BJ273" s="150">
        <f t="shared" si="223"/>
        <v>0</v>
      </c>
      <c r="BK273" s="150">
        <f t="shared" si="224"/>
        <v>0</v>
      </c>
      <c r="BL273" s="176">
        <f t="shared" si="225"/>
        <v>0</v>
      </c>
      <c r="BM273" s="168">
        <f t="shared" si="226"/>
        <v>0</v>
      </c>
      <c r="BN273" s="149">
        <f t="shared" si="227"/>
        <v>0</v>
      </c>
      <c r="BO273" s="149">
        <f t="shared" si="228"/>
        <v>0</v>
      </c>
      <c r="BP273" s="157">
        <f t="shared" si="229"/>
        <v>0</v>
      </c>
      <c r="BQ273" s="160">
        <f t="shared" si="230"/>
        <v>0</v>
      </c>
      <c r="BR273" s="150">
        <f t="shared" si="231"/>
        <v>0</v>
      </c>
      <c r="BS273" s="150">
        <f t="shared" si="232"/>
        <v>0</v>
      </c>
      <c r="BT273" s="176">
        <f t="shared" si="233"/>
        <v>0</v>
      </c>
      <c r="BU273" s="168">
        <f t="shared" si="234"/>
        <v>0</v>
      </c>
      <c r="BV273" s="149">
        <f t="shared" si="235"/>
        <v>0</v>
      </c>
      <c r="BW273" s="149">
        <f t="shared" si="236"/>
        <v>0</v>
      </c>
      <c r="BX273" s="157">
        <f t="shared" si="237"/>
        <v>0</v>
      </c>
      <c r="BY273" s="160">
        <f t="shared" si="238"/>
        <v>0</v>
      </c>
      <c r="BZ273" s="150">
        <f t="shared" si="239"/>
        <v>0</v>
      </c>
      <c r="CA273" s="150">
        <f t="shared" si="240"/>
        <v>0</v>
      </c>
      <c r="CB273" s="176">
        <f t="shared" si="241"/>
        <v>0</v>
      </c>
      <c r="CC273" s="168">
        <f t="shared" si="242"/>
        <v>0</v>
      </c>
      <c r="CD273" s="149">
        <f t="shared" si="243"/>
        <v>0</v>
      </c>
      <c r="CE273" s="149">
        <f t="shared" si="244"/>
        <v>0</v>
      </c>
      <c r="CF273" s="157">
        <f t="shared" si="245"/>
        <v>0</v>
      </c>
      <c r="CG273" s="160">
        <f t="shared" si="246"/>
        <v>0</v>
      </c>
      <c r="CH273" s="150">
        <f t="shared" si="247"/>
        <v>0</v>
      </c>
      <c r="CI273" s="150">
        <f t="shared" si="248"/>
        <v>0</v>
      </c>
      <c r="CJ273" s="176">
        <f t="shared" si="249"/>
        <v>0</v>
      </c>
      <c r="CK273" s="168">
        <f t="shared" si="250"/>
        <v>320941.28781975742</v>
      </c>
      <c r="CL273" s="149">
        <f t="shared" si="251"/>
        <v>0</v>
      </c>
      <c r="CM273" s="149">
        <f t="shared" si="252"/>
        <v>0</v>
      </c>
      <c r="CN273" s="157">
        <f t="shared" si="253"/>
        <v>0</v>
      </c>
      <c r="CO273" s="160">
        <f t="shared" si="254"/>
        <v>0</v>
      </c>
      <c r="CP273" s="150">
        <f t="shared" si="255"/>
        <v>0</v>
      </c>
      <c r="CQ273" s="150">
        <f t="shared" si="256"/>
        <v>0</v>
      </c>
      <c r="CR273" s="176">
        <f t="shared" si="257"/>
        <v>0</v>
      </c>
      <c r="CS273" s="168">
        <f t="shared" si="258"/>
        <v>0</v>
      </c>
      <c r="CT273" s="149">
        <f t="shared" si="259"/>
        <v>0</v>
      </c>
      <c r="CU273" s="149">
        <f t="shared" si="260"/>
        <v>0</v>
      </c>
      <c r="CV273" s="157">
        <f t="shared" si="261"/>
        <v>0</v>
      </c>
      <c r="CW273" s="160">
        <f t="shared" si="262"/>
        <v>0</v>
      </c>
      <c r="CX273" s="150">
        <f t="shared" si="263"/>
        <v>0</v>
      </c>
      <c r="CY273" s="150">
        <f t="shared" si="264"/>
        <v>0</v>
      </c>
      <c r="CZ273" s="176">
        <f t="shared" si="265"/>
        <v>0</v>
      </c>
      <c r="DA273" s="168">
        <f t="shared" si="266"/>
        <v>0</v>
      </c>
      <c r="DB273" s="149">
        <f t="shared" si="267"/>
        <v>0</v>
      </c>
      <c r="DC273" s="149">
        <f t="shared" si="268"/>
        <v>0</v>
      </c>
      <c r="DD273" s="157">
        <f t="shared" si="269"/>
        <v>0</v>
      </c>
    </row>
    <row r="274" spans="2:108" x14ac:dyDescent="0.2">
      <c r="B274" s="182" t="s">
        <v>407</v>
      </c>
      <c r="C274" s="556">
        <v>17</v>
      </c>
      <c r="D274" s="168">
        <v>200000</v>
      </c>
      <c r="E274" s="149">
        <v>0</v>
      </c>
      <c r="F274" s="149">
        <v>0</v>
      </c>
      <c r="G274" s="149">
        <v>0</v>
      </c>
      <c r="H274" s="168">
        <f t="shared" si="270"/>
        <v>256649.30788112889</v>
      </c>
      <c r="I274" s="610">
        <f t="shared" si="271"/>
        <v>0</v>
      </c>
      <c r="J274" s="610">
        <f t="shared" si="272"/>
        <v>0</v>
      </c>
      <c r="K274" s="610">
        <f t="shared" si="273"/>
        <v>0</v>
      </c>
      <c r="L274" s="610">
        <f t="shared" si="274"/>
        <v>0</v>
      </c>
      <c r="M274" s="610">
        <f t="shared" si="275"/>
        <v>0</v>
      </c>
      <c r="N274" s="610">
        <f t="shared" si="276"/>
        <v>0</v>
      </c>
      <c r="O274" s="610">
        <f t="shared" si="277"/>
        <v>0</v>
      </c>
      <c r="P274" s="610">
        <f t="shared" si="278"/>
        <v>0</v>
      </c>
      <c r="Q274" s="610">
        <f t="shared" si="279"/>
        <v>0</v>
      </c>
      <c r="R274" s="610">
        <f t="shared" si="280"/>
        <v>0</v>
      </c>
      <c r="S274" s="610">
        <f t="shared" si="281"/>
        <v>0</v>
      </c>
      <c r="T274" s="610">
        <f t="shared" si="282"/>
        <v>0</v>
      </c>
      <c r="U274" s="610">
        <f t="shared" si="283"/>
        <v>0</v>
      </c>
      <c r="V274" s="610">
        <f t="shared" si="284"/>
        <v>0</v>
      </c>
      <c r="W274" s="610">
        <f t="shared" si="285"/>
        <v>0</v>
      </c>
      <c r="X274" s="610">
        <f t="shared" si="286"/>
        <v>0</v>
      </c>
      <c r="Y274" s="610">
        <f t="shared" si="287"/>
        <v>256649.30788112889</v>
      </c>
      <c r="Z274" s="610">
        <f t="shared" si="288"/>
        <v>0</v>
      </c>
      <c r="AA274" s="610">
        <f t="shared" si="289"/>
        <v>0</v>
      </c>
      <c r="AB274" s="611">
        <f t="shared" si="290"/>
        <v>0</v>
      </c>
      <c r="AC274" s="160">
        <f t="shared" si="190"/>
        <v>0</v>
      </c>
      <c r="AD274" s="150">
        <f t="shared" si="191"/>
        <v>0</v>
      </c>
      <c r="AE274" s="150">
        <f t="shared" si="192"/>
        <v>0</v>
      </c>
      <c r="AF274" s="165">
        <f t="shared" si="193"/>
        <v>0</v>
      </c>
      <c r="AG274" s="168">
        <f t="shared" si="194"/>
        <v>0</v>
      </c>
      <c r="AH274" s="149">
        <f t="shared" si="195"/>
        <v>0</v>
      </c>
      <c r="AI274" s="149">
        <f t="shared" si="196"/>
        <v>0</v>
      </c>
      <c r="AJ274" s="171">
        <f t="shared" si="197"/>
        <v>0</v>
      </c>
      <c r="AK274" s="160">
        <f t="shared" si="198"/>
        <v>0</v>
      </c>
      <c r="AL274" s="150">
        <f t="shared" si="199"/>
        <v>0</v>
      </c>
      <c r="AM274" s="150">
        <f t="shared" si="200"/>
        <v>0</v>
      </c>
      <c r="AN274" s="165">
        <f t="shared" si="201"/>
        <v>0</v>
      </c>
      <c r="AO274" s="168">
        <f t="shared" si="202"/>
        <v>0</v>
      </c>
      <c r="AP274" s="149">
        <f t="shared" si="203"/>
        <v>0</v>
      </c>
      <c r="AQ274" s="149">
        <f t="shared" si="204"/>
        <v>0</v>
      </c>
      <c r="AR274" s="157">
        <f t="shared" si="205"/>
        <v>0</v>
      </c>
      <c r="AS274" s="160">
        <f t="shared" si="206"/>
        <v>0</v>
      </c>
      <c r="AT274" s="150">
        <f t="shared" si="207"/>
        <v>0</v>
      </c>
      <c r="AU274" s="150">
        <f t="shared" si="208"/>
        <v>0</v>
      </c>
      <c r="AV274" s="165">
        <f t="shared" si="209"/>
        <v>0</v>
      </c>
      <c r="AW274" s="168">
        <f t="shared" si="210"/>
        <v>0</v>
      </c>
      <c r="AX274" s="149">
        <f t="shared" si="211"/>
        <v>0</v>
      </c>
      <c r="AY274" s="149">
        <f t="shared" si="212"/>
        <v>0</v>
      </c>
      <c r="AZ274" s="157">
        <f t="shared" si="213"/>
        <v>0</v>
      </c>
      <c r="BA274" s="160">
        <f t="shared" si="214"/>
        <v>0</v>
      </c>
      <c r="BB274" s="150">
        <f t="shared" si="215"/>
        <v>0</v>
      </c>
      <c r="BC274" s="150">
        <f t="shared" si="216"/>
        <v>0</v>
      </c>
      <c r="BD274" s="176">
        <f t="shared" si="217"/>
        <v>0</v>
      </c>
      <c r="BE274" s="168">
        <f t="shared" si="218"/>
        <v>0</v>
      </c>
      <c r="BF274" s="149">
        <f t="shared" si="219"/>
        <v>0</v>
      </c>
      <c r="BG274" s="149">
        <f t="shared" si="220"/>
        <v>0</v>
      </c>
      <c r="BH274" s="171">
        <f t="shared" si="221"/>
        <v>0</v>
      </c>
      <c r="BI274" s="160">
        <f t="shared" si="222"/>
        <v>0</v>
      </c>
      <c r="BJ274" s="150">
        <f t="shared" si="223"/>
        <v>0</v>
      </c>
      <c r="BK274" s="150">
        <f t="shared" si="224"/>
        <v>0</v>
      </c>
      <c r="BL274" s="176">
        <f t="shared" si="225"/>
        <v>0</v>
      </c>
      <c r="BM274" s="168">
        <f t="shared" si="226"/>
        <v>0</v>
      </c>
      <c r="BN274" s="149">
        <f t="shared" si="227"/>
        <v>0</v>
      </c>
      <c r="BO274" s="149">
        <f t="shared" si="228"/>
        <v>0</v>
      </c>
      <c r="BP274" s="157">
        <f t="shared" si="229"/>
        <v>0</v>
      </c>
      <c r="BQ274" s="160">
        <f t="shared" si="230"/>
        <v>0</v>
      </c>
      <c r="BR274" s="150">
        <f t="shared" si="231"/>
        <v>0</v>
      </c>
      <c r="BS274" s="150">
        <f t="shared" si="232"/>
        <v>0</v>
      </c>
      <c r="BT274" s="176">
        <f t="shared" si="233"/>
        <v>0</v>
      </c>
      <c r="BU274" s="168">
        <f t="shared" si="234"/>
        <v>0</v>
      </c>
      <c r="BV274" s="149">
        <f t="shared" si="235"/>
        <v>0</v>
      </c>
      <c r="BW274" s="149">
        <f t="shared" si="236"/>
        <v>0</v>
      </c>
      <c r="BX274" s="157">
        <f t="shared" si="237"/>
        <v>0</v>
      </c>
      <c r="BY274" s="160">
        <f t="shared" si="238"/>
        <v>0</v>
      </c>
      <c r="BZ274" s="150">
        <f t="shared" si="239"/>
        <v>0</v>
      </c>
      <c r="CA274" s="150">
        <f t="shared" si="240"/>
        <v>0</v>
      </c>
      <c r="CB274" s="176">
        <f t="shared" si="241"/>
        <v>0</v>
      </c>
      <c r="CC274" s="168">
        <f t="shared" si="242"/>
        <v>0</v>
      </c>
      <c r="CD274" s="149">
        <f t="shared" si="243"/>
        <v>0</v>
      </c>
      <c r="CE274" s="149">
        <f t="shared" si="244"/>
        <v>0</v>
      </c>
      <c r="CF274" s="157">
        <f t="shared" si="245"/>
        <v>0</v>
      </c>
      <c r="CG274" s="160">
        <f t="shared" si="246"/>
        <v>0</v>
      </c>
      <c r="CH274" s="150">
        <f t="shared" si="247"/>
        <v>0</v>
      </c>
      <c r="CI274" s="150">
        <f t="shared" si="248"/>
        <v>0</v>
      </c>
      <c r="CJ274" s="176">
        <f t="shared" si="249"/>
        <v>0</v>
      </c>
      <c r="CK274" s="168">
        <f t="shared" si="250"/>
        <v>0</v>
      </c>
      <c r="CL274" s="149">
        <f t="shared" si="251"/>
        <v>0</v>
      </c>
      <c r="CM274" s="149">
        <f t="shared" si="252"/>
        <v>0</v>
      </c>
      <c r="CN274" s="157">
        <f t="shared" si="253"/>
        <v>0</v>
      </c>
      <c r="CO274" s="160">
        <f t="shared" si="254"/>
        <v>330569.52645435015</v>
      </c>
      <c r="CP274" s="150">
        <f t="shared" si="255"/>
        <v>0</v>
      </c>
      <c r="CQ274" s="150">
        <f t="shared" si="256"/>
        <v>0</v>
      </c>
      <c r="CR274" s="176">
        <f t="shared" si="257"/>
        <v>0</v>
      </c>
      <c r="CS274" s="168">
        <f t="shared" si="258"/>
        <v>0</v>
      </c>
      <c r="CT274" s="149">
        <f t="shared" si="259"/>
        <v>0</v>
      </c>
      <c r="CU274" s="149">
        <f t="shared" si="260"/>
        <v>0</v>
      </c>
      <c r="CV274" s="157">
        <f t="shared" si="261"/>
        <v>0</v>
      </c>
      <c r="CW274" s="160">
        <f t="shared" si="262"/>
        <v>0</v>
      </c>
      <c r="CX274" s="150">
        <f t="shared" si="263"/>
        <v>0</v>
      </c>
      <c r="CY274" s="150">
        <f t="shared" si="264"/>
        <v>0</v>
      </c>
      <c r="CZ274" s="176">
        <f t="shared" si="265"/>
        <v>0</v>
      </c>
      <c r="DA274" s="168">
        <f t="shared" si="266"/>
        <v>0</v>
      </c>
      <c r="DB274" s="149">
        <f t="shared" si="267"/>
        <v>0</v>
      </c>
      <c r="DC274" s="149">
        <f t="shared" si="268"/>
        <v>0</v>
      </c>
      <c r="DD274" s="157">
        <f t="shared" si="269"/>
        <v>0</v>
      </c>
    </row>
    <row r="275" spans="2:108" x14ac:dyDescent="0.2">
      <c r="B275" s="182" t="s">
        <v>408</v>
      </c>
      <c r="C275" s="556">
        <v>18</v>
      </c>
      <c r="D275" s="168">
        <v>200000</v>
      </c>
      <c r="E275" s="149">
        <v>0</v>
      </c>
      <c r="F275" s="149">
        <v>0</v>
      </c>
      <c r="G275" s="149">
        <v>0</v>
      </c>
      <c r="H275" s="168">
        <f t="shared" si="270"/>
        <v>260442.15479562836</v>
      </c>
      <c r="I275" s="610">
        <f t="shared" si="271"/>
        <v>0</v>
      </c>
      <c r="J275" s="610">
        <f t="shared" si="272"/>
        <v>0</v>
      </c>
      <c r="K275" s="610">
        <f t="shared" si="273"/>
        <v>0</v>
      </c>
      <c r="L275" s="610">
        <f t="shared" si="274"/>
        <v>0</v>
      </c>
      <c r="M275" s="610">
        <f t="shared" si="275"/>
        <v>0</v>
      </c>
      <c r="N275" s="610">
        <f t="shared" si="276"/>
        <v>0</v>
      </c>
      <c r="O275" s="610">
        <f t="shared" si="277"/>
        <v>0</v>
      </c>
      <c r="P275" s="610">
        <f t="shared" si="278"/>
        <v>0</v>
      </c>
      <c r="Q275" s="610">
        <f t="shared" si="279"/>
        <v>0</v>
      </c>
      <c r="R275" s="610">
        <f t="shared" si="280"/>
        <v>0</v>
      </c>
      <c r="S275" s="610">
        <f t="shared" si="281"/>
        <v>0</v>
      </c>
      <c r="T275" s="610">
        <f t="shared" si="282"/>
        <v>0</v>
      </c>
      <c r="U275" s="610">
        <f t="shared" si="283"/>
        <v>0</v>
      </c>
      <c r="V275" s="610">
        <f t="shared" si="284"/>
        <v>0</v>
      </c>
      <c r="W275" s="610">
        <f t="shared" si="285"/>
        <v>0</v>
      </c>
      <c r="X275" s="610">
        <f t="shared" si="286"/>
        <v>0</v>
      </c>
      <c r="Y275" s="610">
        <f t="shared" si="287"/>
        <v>0</v>
      </c>
      <c r="Z275" s="610">
        <f t="shared" si="288"/>
        <v>260442.15479562836</v>
      </c>
      <c r="AA275" s="610">
        <f t="shared" si="289"/>
        <v>0</v>
      </c>
      <c r="AB275" s="611">
        <f t="shared" si="290"/>
        <v>0</v>
      </c>
      <c r="AC275" s="160">
        <f t="shared" si="190"/>
        <v>0</v>
      </c>
      <c r="AD275" s="150">
        <f t="shared" si="191"/>
        <v>0</v>
      </c>
      <c r="AE275" s="150">
        <f t="shared" si="192"/>
        <v>0</v>
      </c>
      <c r="AF275" s="165">
        <f t="shared" si="193"/>
        <v>0</v>
      </c>
      <c r="AG275" s="168">
        <f t="shared" si="194"/>
        <v>0</v>
      </c>
      <c r="AH275" s="149">
        <f t="shared" si="195"/>
        <v>0</v>
      </c>
      <c r="AI275" s="149">
        <f t="shared" si="196"/>
        <v>0</v>
      </c>
      <c r="AJ275" s="171">
        <f t="shared" si="197"/>
        <v>0</v>
      </c>
      <c r="AK275" s="160">
        <f t="shared" si="198"/>
        <v>0</v>
      </c>
      <c r="AL275" s="150">
        <f t="shared" si="199"/>
        <v>0</v>
      </c>
      <c r="AM275" s="150">
        <f t="shared" si="200"/>
        <v>0</v>
      </c>
      <c r="AN275" s="165">
        <f t="shared" si="201"/>
        <v>0</v>
      </c>
      <c r="AO275" s="168">
        <f t="shared" si="202"/>
        <v>0</v>
      </c>
      <c r="AP275" s="149">
        <f t="shared" si="203"/>
        <v>0</v>
      </c>
      <c r="AQ275" s="149">
        <f t="shared" si="204"/>
        <v>0</v>
      </c>
      <c r="AR275" s="157">
        <f t="shared" si="205"/>
        <v>0</v>
      </c>
      <c r="AS275" s="160">
        <f t="shared" si="206"/>
        <v>0</v>
      </c>
      <c r="AT275" s="150">
        <f t="shared" si="207"/>
        <v>0</v>
      </c>
      <c r="AU275" s="150">
        <f t="shared" si="208"/>
        <v>0</v>
      </c>
      <c r="AV275" s="165">
        <f t="shared" si="209"/>
        <v>0</v>
      </c>
      <c r="AW275" s="168">
        <f t="shared" si="210"/>
        <v>0</v>
      </c>
      <c r="AX275" s="149">
        <f t="shared" si="211"/>
        <v>0</v>
      </c>
      <c r="AY275" s="149">
        <f t="shared" si="212"/>
        <v>0</v>
      </c>
      <c r="AZ275" s="157">
        <f t="shared" si="213"/>
        <v>0</v>
      </c>
      <c r="BA275" s="160">
        <f t="shared" si="214"/>
        <v>0</v>
      </c>
      <c r="BB275" s="150">
        <f t="shared" si="215"/>
        <v>0</v>
      </c>
      <c r="BC275" s="150">
        <f t="shared" si="216"/>
        <v>0</v>
      </c>
      <c r="BD275" s="176">
        <f t="shared" si="217"/>
        <v>0</v>
      </c>
      <c r="BE275" s="168">
        <f t="shared" si="218"/>
        <v>0</v>
      </c>
      <c r="BF275" s="149">
        <f t="shared" si="219"/>
        <v>0</v>
      </c>
      <c r="BG275" s="149">
        <f t="shared" si="220"/>
        <v>0</v>
      </c>
      <c r="BH275" s="171">
        <f t="shared" si="221"/>
        <v>0</v>
      </c>
      <c r="BI275" s="160">
        <f t="shared" si="222"/>
        <v>0</v>
      </c>
      <c r="BJ275" s="150">
        <f t="shared" si="223"/>
        <v>0</v>
      </c>
      <c r="BK275" s="150">
        <f t="shared" si="224"/>
        <v>0</v>
      </c>
      <c r="BL275" s="176">
        <f t="shared" si="225"/>
        <v>0</v>
      </c>
      <c r="BM275" s="168">
        <f t="shared" si="226"/>
        <v>0</v>
      </c>
      <c r="BN275" s="149">
        <f t="shared" si="227"/>
        <v>0</v>
      </c>
      <c r="BO275" s="149">
        <f t="shared" si="228"/>
        <v>0</v>
      </c>
      <c r="BP275" s="157">
        <f t="shared" si="229"/>
        <v>0</v>
      </c>
      <c r="BQ275" s="160">
        <f t="shared" si="230"/>
        <v>0</v>
      </c>
      <c r="BR275" s="150">
        <f t="shared" si="231"/>
        <v>0</v>
      </c>
      <c r="BS275" s="150">
        <f t="shared" si="232"/>
        <v>0</v>
      </c>
      <c r="BT275" s="176">
        <f t="shared" si="233"/>
        <v>0</v>
      </c>
      <c r="BU275" s="168">
        <f t="shared" si="234"/>
        <v>0</v>
      </c>
      <c r="BV275" s="149">
        <f t="shared" si="235"/>
        <v>0</v>
      </c>
      <c r="BW275" s="149">
        <f t="shared" si="236"/>
        <v>0</v>
      </c>
      <c r="BX275" s="157">
        <f t="shared" si="237"/>
        <v>0</v>
      </c>
      <c r="BY275" s="160">
        <f t="shared" si="238"/>
        <v>0</v>
      </c>
      <c r="BZ275" s="150">
        <f t="shared" si="239"/>
        <v>0</v>
      </c>
      <c r="CA275" s="150">
        <f t="shared" si="240"/>
        <v>0</v>
      </c>
      <c r="CB275" s="176">
        <f t="shared" si="241"/>
        <v>0</v>
      </c>
      <c r="CC275" s="168">
        <f t="shared" si="242"/>
        <v>0</v>
      </c>
      <c r="CD275" s="149">
        <f t="shared" si="243"/>
        <v>0</v>
      </c>
      <c r="CE275" s="149">
        <f t="shared" si="244"/>
        <v>0</v>
      </c>
      <c r="CF275" s="157">
        <f t="shared" si="245"/>
        <v>0</v>
      </c>
      <c r="CG275" s="160">
        <f t="shared" si="246"/>
        <v>0</v>
      </c>
      <c r="CH275" s="150">
        <f t="shared" si="247"/>
        <v>0</v>
      </c>
      <c r="CI275" s="150">
        <f t="shared" si="248"/>
        <v>0</v>
      </c>
      <c r="CJ275" s="176">
        <f t="shared" si="249"/>
        <v>0</v>
      </c>
      <c r="CK275" s="168">
        <f t="shared" si="250"/>
        <v>0</v>
      </c>
      <c r="CL275" s="149">
        <f t="shared" si="251"/>
        <v>0</v>
      </c>
      <c r="CM275" s="149">
        <f t="shared" si="252"/>
        <v>0</v>
      </c>
      <c r="CN275" s="157">
        <f t="shared" si="253"/>
        <v>0</v>
      </c>
      <c r="CO275" s="160">
        <f t="shared" si="254"/>
        <v>0</v>
      </c>
      <c r="CP275" s="150">
        <f t="shared" si="255"/>
        <v>0</v>
      </c>
      <c r="CQ275" s="150">
        <f t="shared" si="256"/>
        <v>0</v>
      </c>
      <c r="CR275" s="176">
        <f t="shared" si="257"/>
        <v>0</v>
      </c>
      <c r="CS275" s="168">
        <f t="shared" si="258"/>
        <v>340486.61224798067</v>
      </c>
      <c r="CT275" s="149">
        <f t="shared" si="259"/>
        <v>0</v>
      </c>
      <c r="CU275" s="149">
        <f t="shared" si="260"/>
        <v>0</v>
      </c>
      <c r="CV275" s="157">
        <f t="shared" si="261"/>
        <v>0</v>
      </c>
      <c r="CW275" s="160">
        <f t="shared" si="262"/>
        <v>0</v>
      </c>
      <c r="CX275" s="150">
        <f t="shared" si="263"/>
        <v>0</v>
      </c>
      <c r="CY275" s="150">
        <f t="shared" si="264"/>
        <v>0</v>
      </c>
      <c r="CZ275" s="176">
        <f t="shared" si="265"/>
        <v>0</v>
      </c>
      <c r="DA275" s="168">
        <f t="shared" si="266"/>
        <v>0</v>
      </c>
      <c r="DB275" s="149">
        <f t="shared" si="267"/>
        <v>0</v>
      </c>
      <c r="DC275" s="149">
        <f t="shared" si="268"/>
        <v>0</v>
      </c>
      <c r="DD275" s="157">
        <f t="shared" si="269"/>
        <v>0</v>
      </c>
    </row>
    <row r="276" spans="2:108" x14ac:dyDescent="0.2">
      <c r="B276" s="182" t="s">
        <v>409</v>
      </c>
      <c r="C276" s="556">
        <v>19</v>
      </c>
      <c r="D276" s="168">
        <v>200000</v>
      </c>
      <c r="E276" s="149">
        <v>0</v>
      </c>
      <c r="F276" s="149">
        <v>0</v>
      </c>
      <c r="G276" s="149">
        <v>0</v>
      </c>
      <c r="H276" s="168">
        <f t="shared" si="270"/>
        <v>264291.05363497266</v>
      </c>
      <c r="I276" s="610">
        <f t="shared" si="271"/>
        <v>0</v>
      </c>
      <c r="J276" s="610">
        <f t="shared" si="272"/>
        <v>0</v>
      </c>
      <c r="K276" s="610">
        <f t="shared" si="273"/>
        <v>0</v>
      </c>
      <c r="L276" s="610">
        <f t="shared" si="274"/>
        <v>0</v>
      </c>
      <c r="M276" s="610">
        <f t="shared" si="275"/>
        <v>0</v>
      </c>
      <c r="N276" s="610">
        <f t="shared" si="276"/>
        <v>0</v>
      </c>
      <c r="O276" s="610">
        <f t="shared" si="277"/>
        <v>0</v>
      </c>
      <c r="P276" s="610">
        <f t="shared" si="278"/>
        <v>0</v>
      </c>
      <c r="Q276" s="610">
        <f t="shared" si="279"/>
        <v>0</v>
      </c>
      <c r="R276" s="610">
        <f t="shared" si="280"/>
        <v>0</v>
      </c>
      <c r="S276" s="610">
        <f t="shared" si="281"/>
        <v>0</v>
      </c>
      <c r="T276" s="610">
        <f t="shared" si="282"/>
        <v>0</v>
      </c>
      <c r="U276" s="610">
        <f t="shared" si="283"/>
        <v>0</v>
      </c>
      <c r="V276" s="610">
        <f t="shared" si="284"/>
        <v>0</v>
      </c>
      <c r="W276" s="610">
        <f t="shared" si="285"/>
        <v>0</v>
      </c>
      <c r="X276" s="610">
        <f t="shared" si="286"/>
        <v>0</v>
      </c>
      <c r="Y276" s="610">
        <f t="shared" si="287"/>
        <v>0</v>
      </c>
      <c r="Z276" s="610">
        <f t="shared" si="288"/>
        <v>0</v>
      </c>
      <c r="AA276" s="610">
        <f t="shared" si="289"/>
        <v>264291.05363497266</v>
      </c>
      <c r="AB276" s="611">
        <f t="shared" si="290"/>
        <v>0</v>
      </c>
      <c r="AC276" s="160">
        <f t="shared" si="190"/>
        <v>0</v>
      </c>
      <c r="AD276" s="150">
        <f t="shared" si="191"/>
        <v>0</v>
      </c>
      <c r="AE276" s="150">
        <f t="shared" si="192"/>
        <v>0</v>
      </c>
      <c r="AF276" s="165">
        <f t="shared" si="193"/>
        <v>0</v>
      </c>
      <c r="AG276" s="168">
        <f t="shared" si="194"/>
        <v>0</v>
      </c>
      <c r="AH276" s="149">
        <f t="shared" si="195"/>
        <v>0</v>
      </c>
      <c r="AI276" s="149">
        <f t="shared" si="196"/>
        <v>0</v>
      </c>
      <c r="AJ276" s="171">
        <f t="shared" si="197"/>
        <v>0</v>
      </c>
      <c r="AK276" s="160">
        <f t="shared" si="198"/>
        <v>0</v>
      </c>
      <c r="AL276" s="150">
        <f t="shared" si="199"/>
        <v>0</v>
      </c>
      <c r="AM276" s="150">
        <f t="shared" si="200"/>
        <v>0</v>
      </c>
      <c r="AN276" s="165">
        <f t="shared" si="201"/>
        <v>0</v>
      </c>
      <c r="AO276" s="168">
        <f t="shared" si="202"/>
        <v>0</v>
      </c>
      <c r="AP276" s="149">
        <f t="shared" si="203"/>
        <v>0</v>
      </c>
      <c r="AQ276" s="149">
        <f t="shared" si="204"/>
        <v>0</v>
      </c>
      <c r="AR276" s="157">
        <f t="shared" si="205"/>
        <v>0</v>
      </c>
      <c r="AS276" s="160">
        <f t="shared" si="206"/>
        <v>0</v>
      </c>
      <c r="AT276" s="150">
        <f t="shared" si="207"/>
        <v>0</v>
      </c>
      <c r="AU276" s="150">
        <f t="shared" si="208"/>
        <v>0</v>
      </c>
      <c r="AV276" s="165">
        <f t="shared" si="209"/>
        <v>0</v>
      </c>
      <c r="AW276" s="168">
        <f t="shared" si="210"/>
        <v>0</v>
      </c>
      <c r="AX276" s="149">
        <f t="shared" si="211"/>
        <v>0</v>
      </c>
      <c r="AY276" s="149">
        <f t="shared" si="212"/>
        <v>0</v>
      </c>
      <c r="AZ276" s="157">
        <f t="shared" si="213"/>
        <v>0</v>
      </c>
      <c r="BA276" s="160">
        <f t="shared" si="214"/>
        <v>0</v>
      </c>
      <c r="BB276" s="150">
        <f t="shared" si="215"/>
        <v>0</v>
      </c>
      <c r="BC276" s="150">
        <f t="shared" si="216"/>
        <v>0</v>
      </c>
      <c r="BD276" s="176">
        <f t="shared" si="217"/>
        <v>0</v>
      </c>
      <c r="BE276" s="168">
        <f t="shared" si="218"/>
        <v>0</v>
      </c>
      <c r="BF276" s="149">
        <f t="shared" si="219"/>
        <v>0</v>
      </c>
      <c r="BG276" s="149">
        <f t="shared" si="220"/>
        <v>0</v>
      </c>
      <c r="BH276" s="171">
        <f t="shared" si="221"/>
        <v>0</v>
      </c>
      <c r="BI276" s="160">
        <f t="shared" si="222"/>
        <v>0</v>
      </c>
      <c r="BJ276" s="150">
        <f t="shared" si="223"/>
        <v>0</v>
      </c>
      <c r="BK276" s="150">
        <f t="shared" si="224"/>
        <v>0</v>
      </c>
      <c r="BL276" s="176">
        <f t="shared" si="225"/>
        <v>0</v>
      </c>
      <c r="BM276" s="168">
        <f t="shared" si="226"/>
        <v>0</v>
      </c>
      <c r="BN276" s="149">
        <f t="shared" si="227"/>
        <v>0</v>
      </c>
      <c r="BO276" s="149">
        <f t="shared" si="228"/>
        <v>0</v>
      </c>
      <c r="BP276" s="157">
        <f t="shared" si="229"/>
        <v>0</v>
      </c>
      <c r="BQ276" s="160">
        <f t="shared" si="230"/>
        <v>0</v>
      </c>
      <c r="BR276" s="150">
        <f t="shared" si="231"/>
        <v>0</v>
      </c>
      <c r="BS276" s="150">
        <f t="shared" si="232"/>
        <v>0</v>
      </c>
      <c r="BT276" s="176">
        <f t="shared" si="233"/>
        <v>0</v>
      </c>
      <c r="BU276" s="168">
        <f t="shared" si="234"/>
        <v>0</v>
      </c>
      <c r="BV276" s="149">
        <f t="shared" si="235"/>
        <v>0</v>
      </c>
      <c r="BW276" s="149">
        <f t="shared" si="236"/>
        <v>0</v>
      </c>
      <c r="BX276" s="157">
        <f t="shared" si="237"/>
        <v>0</v>
      </c>
      <c r="BY276" s="160">
        <f t="shared" si="238"/>
        <v>0</v>
      </c>
      <c r="BZ276" s="150">
        <f t="shared" si="239"/>
        <v>0</v>
      </c>
      <c r="CA276" s="150">
        <f t="shared" si="240"/>
        <v>0</v>
      </c>
      <c r="CB276" s="176">
        <f t="shared" si="241"/>
        <v>0</v>
      </c>
      <c r="CC276" s="168">
        <f t="shared" si="242"/>
        <v>0</v>
      </c>
      <c r="CD276" s="149">
        <f t="shared" si="243"/>
        <v>0</v>
      </c>
      <c r="CE276" s="149">
        <f t="shared" si="244"/>
        <v>0</v>
      </c>
      <c r="CF276" s="157">
        <f t="shared" si="245"/>
        <v>0</v>
      </c>
      <c r="CG276" s="160">
        <f t="shared" si="246"/>
        <v>0</v>
      </c>
      <c r="CH276" s="150">
        <f t="shared" si="247"/>
        <v>0</v>
      </c>
      <c r="CI276" s="150">
        <f t="shared" si="248"/>
        <v>0</v>
      </c>
      <c r="CJ276" s="176">
        <f t="shared" si="249"/>
        <v>0</v>
      </c>
      <c r="CK276" s="168">
        <f t="shared" si="250"/>
        <v>0</v>
      </c>
      <c r="CL276" s="149">
        <f t="shared" si="251"/>
        <v>0</v>
      </c>
      <c r="CM276" s="149">
        <f t="shared" si="252"/>
        <v>0</v>
      </c>
      <c r="CN276" s="157">
        <f t="shared" si="253"/>
        <v>0</v>
      </c>
      <c r="CO276" s="160">
        <f t="shared" si="254"/>
        <v>0</v>
      </c>
      <c r="CP276" s="150">
        <f t="shared" si="255"/>
        <v>0</v>
      </c>
      <c r="CQ276" s="150">
        <f t="shared" si="256"/>
        <v>0</v>
      </c>
      <c r="CR276" s="176">
        <f t="shared" si="257"/>
        <v>0</v>
      </c>
      <c r="CS276" s="168">
        <f t="shared" si="258"/>
        <v>0</v>
      </c>
      <c r="CT276" s="149">
        <f t="shared" si="259"/>
        <v>0</v>
      </c>
      <c r="CU276" s="149">
        <f t="shared" si="260"/>
        <v>0</v>
      </c>
      <c r="CV276" s="157">
        <f t="shared" si="261"/>
        <v>0</v>
      </c>
      <c r="CW276" s="160">
        <f t="shared" si="262"/>
        <v>350701.21061542007</v>
      </c>
      <c r="CX276" s="150">
        <f t="shared" si="263"/>
        <v>0</v>
      </c>
      <c r="CY276" s="150">
        <f t="shared" si="264"/>
        <v>0</v>
      </c>
      <c r="CZ276" s="176">
        <f t="shared" si="265"/>
        <v>0</v>
      </c>
      <c r="DA276" s="168">
        <f t="shared" si="266"/>
        <v>0</v>
      </c>
      <c r="DB276" s="149">
        <f t="shared" si="267"/>
        <v>0</v>
      </c>
      <c r="DC276" s="149">
        <f t="shared" si="268"/>
        <v>0</v>
      </c>
      <c r="DD276" s="157">
        <f t="shared" si="269"/>
        <v>0</v>
      </c>
    </row>
    <row r="277" spans="2:108" x14ac:dyDescent="0.2">
      <c r="B277" s="182" t="s">
        <v>410</v>
      </c>
      <c r="C277" s="556">
        <v>20</v>
      </c>
      <c r="D277" s="168">
        <v>200000</v>
      </c>
      <c r="E277" s="149">
        <v>0</v>
      </c>
      <c r="F277" s="149">
        <v>0</v>
      </c>
      <c r="G277" s="149">
        <v>0</v>
      </c>
      <c r="H277" s="168">
        <f t="shared" si="270"/>
        <v>268196.83275273093</v>
      </c>
      <c r="I277" s="610">
        <f t="shared" si="271"/>
        <v>0</v>
      </c>
      <c r="J277" s="610">
        <f t="shared" si="272"/>
        <v>0</v>
      </c>
      <c r="K277" s="610">
        <f t="shared" si="273"/>
        <v>0</v>
      </c>
      <c r="L277" s="610">
        <f t="shared" si="274"/>
        <v>0</v>
      </c>
      <c r="M277" s="610">
        <f t="shared" si="275"/>
        <v>0</v>
      </c>
      <c r="N277" s="610">
        <f t="shared" si="276"/>
        <v>0</v>
      </c>
      <c r="O277" s="610">
        <f t="shared" si="277"/>
        <v>0</v>
      </c>
      <c r="P277" s="610">
        <f t="shared" si="278"/>
        <v>0</v>
      </c>
      <c r="Q277" s="610">
        <f t="shared" si="279"/>
        <v>0</v>
      </c>
      <c r="R277" s="610">
        <f t="shared" si="280"/>
        <v>0</v>
      </c>
      <c r="S277" s="610">
        <f t="shared" si="281"/>
        <v>0</v>
      </c>
      <c r="T277" s="610">
        <f t="shared" si="282"/>
        <v>0</v>
      </c>
      <c r="U277" s="610">
        <f t="shared" si="283"/>
        <v>0</v>
      </c>
      <c r="V277" s="610">
        <f t="shared" si="284"/>
        <v>0</v>
      </c>
      <c r="W277" s="610">
        <f t="shared" si="285"/>
        <v>0</v>
      </c>
      <c r="X277" s="610">
        <f t="shared" si="286"/>
        <v>0</v>
      </c>
      <c r="Y277" s="610">
        <f t="shared" si="287"/>
        <v>0</v>
      </c>
      <c r="Z277" s="610">
        <f t="shared" si="288"/>
        <v>0</v>
      </c>
      <c r="AA277" s="610">
        <f t="shared" si="289"/>
        <v>0</v>
      </c>
      <c r="AB277" s="611">
        <f t="shared" si="290"/>
        <v>268196.83275273093</v>
      </c>
      <c r="AC277" s="160">
        <f t="shared" si="190"/>
        <v>0</v>
      </c>
      <c r="AD277" s="150">
        <f t="shared" si="191"/>
        <v>0</v>
      </c>
      <c r="AE277" s="150">
        <f t="shared" si="192"/>
        <v>0</v>
      </c>
      <c r="AF277" s="165">
        <f t="shared" si="193"/>
        <v>0</v>
      </c>
      <c r="AG277" s="168">
        <f t="shared" si="194"/>
        <v>0</v>
      </c>
      <c r="AH277" s="149">
        <f t="shared" si="195"/>
        <v>0</v>
      </c>
      <c r="AI277" s="149">
        <f t="shared" si="196"/>
        <v>0</v>
      </c>
      <c r="AJ277" s="171">
        <f t="shared" si="197"/>
        <v>0</v>
      </c>
      <c r="AK277" s="160">
        <f t="shared" si="198"/>
        <v>0</v>
      </c>
      <c r="AL277" s="150">
        <f t="shared" si="199"/>
        <v>0</v>
      </c>
      <c r="AM277" s="150">
        <f t="shared" si="200"/>
        <v>0</v>
      </c>
      <c r="AN277" s="165">
        <f t="shared" si="201"/>
        <v>0</v>
      </c>
      <c r="AO277" s="168">
        <f t="shared" si="202"/>
        <v>0</v>
      </c>
      <c r="AP277" s="149">
        <f t="shared" si="203"/>
        <v>0</v>
      </c>
      <c r="AQ277" s="149">
        <f t="shared" si="204"/>
        <v>0</v>
      </c>
      <c r="AR277" s="157">
        <f t="shared" si="205"/>
        <v>0</v>
      </c>
      <c r="AS277" s="160">
        <f t="shared" si="206"/>
        <v>0</v>
      </c>
      <c r="AT277" s="150">
        <f t="shared" si="207"/>
        <v>0</v>
      </c>
      <c r="AU277" s="150">
        <f t="shared" si="208"/>
        <v>0</v>
      </c>
      <c r="AV277" s="165">
        <f t="shared" si="209"/>
        <v>0</v>
      </c>
      <c r="AW277" s="168">
        <f t="shared" si="210"/>
        <v>0</v>
      </c>
      <c r="AX277" s="149">
        <f t="shared" si="211"/>
        <v>0</v>
      </c>
      <c r="AY277" s="149">
        <f t="shared" si="212"/>
        <v>0</v>
      </c>
      <c r="AZ277" s="157">
        <f t="shared" si="213"/>
        <v>0</v>
      </c>
      <c r="BA277" s="160">
        <f t="shared" si="214"/>
        <v>0</v>
      </c>
      <c r="BB277" s="150">
        <f t="shared" si="215"/>
        <v>0</v>
      </c>
      <c r="BC277" s="150">
        <f t="shared" si="216"/>
        <v>0</v>
      </c>
      <c r="BD277" s="176">
        <f t="shared" si="217"/>
        <v>0</v>
      </c>
      <c r="BE277" s="168">
        <f t="shared" si="218"/>
        <v>0</v>
      </c>
      <c r="BF277" s="149">
        <f t="shared" si="219"/>
        <v>0</v>
      </c>
      <c r="BG277" s="149">
        <f t="shared" si="220"/>
        <v>0</v>
      </c>
      <c r="BH277" s="171">
        <f t="shared" si="221"/>
        <v>0</v>
      </c>
      <c r="BI277" s="160">
        <f t="shared" si="222"/>
        <v>0</v>
      </c>
      <c r="BJ277" s="150">
        <f t="shared" si="223"/>
        <v>0</v>
      </c>
      <c r="BK277" s="150">
        <f t="shared" si="224"/>
        <v>0</v>
      </c>
      <c r="BL277" s="176">
        <f t="shared" si="225"/>
        <v>0</v>
      </c>
      <c r="BM277" s="168">
        <f t="shared" si="226"/>
        <v>0</v>
      </c>
      <c r="BN277" s="149">
        <f t="shared" si="227"/>
        <v>0</v>
      </c>
      <c r="BO277" s="149">
        <f t="shared" si="228"/>
        <v>0</v>
      </c>
      <c r="BP277" s="157">
        <f t="shared" si="229"/>
        <v>0</v>
      </c>
      <c r="BQ277" s="160">
        <f t="shared" si="230"/>
        <v>0</v>
      </c>
      <c r="BR277" s="150">
        <f t="shared" si="231"/>
        <v>0</v>
      </c>
      <c r="BS277" s="150">
        <f t="shared" si="232"/>
        <v>0</v>
      </c>
      <c r="BT277" s="176">
        <f t="shared" si="233"/>
        <v>0</v>
      </c>
      <c r="BU277" s="168">
        <f t="shared" si="234"/>
        <v>0</v>
      </c>
      <c r="BV277" s="149">
        <f t="shared" si="235"/>
        <v>0</v>
      </c>
      <c r="BW277" s="149">
        <f t="shared" si="236"/>
        <v>0</v>
      </c>
      <c r="BX277" s="157">
        <f t="shared" si="237"/>
        <v>0</v>
      </c>
      <c r="BY277" s="160">
        <f t="shared" si="238"/>
        <v>0</v>
      </c>
      <c r="BZ277" s="150">
        <f t="shared" si="239"/>
        <v>0</v>
      </c>
      <c r="CA277" s="150">
        <f t="shared" si="240"/>
        <v>0</v>
      </c>
      <c r="CB277" s="176">
        <f t="shared" si="241"/>
        <v>0</v>
      </c>
      <c r="CC277" s="168">
        <f t="shared" si="242"/>
        <v>0</v>
      </c>
      <c r="CD277" s="149">
        <f t="shared" si="243"/>
        <v>0</v>
      </c>
      <c r="CE277" s="149">
        <f t="shared" si="244"/>
        <v>0</v>
      </c>
      <c r="CF277" s="157">
        <f t="shared" si="245"/>
        <v>0</v>
      </c>
      <c r="CG277" s="160">
        <f t="shared" si="246"/>
        <v>0</v>
      </c>
      <c r="CH277" s="150">
        <f t="shared" si="247"/>
        <v>0</v>
      </c>
      <c r="CI277" s="150">
        <f t="shared" si="248"/>
        <v>0</v>
      </c>
      <c r="CJ277" s="176">
        <f t="shared" si="249"/>
        <v>0</v>
      </c>
      <c r="CK277" s="168">
        <f t="shared" si="250"/>
        <v>0</v>
      </c>
      <c r="CL277" s="149">
        <f t="shared" si="251"/>
        <v>0</v>
      </c>
      <c r="CM277" s="149">
        <f t="shared" si="252"/>
        <v>0</v>
      </c>
      <c r="CN277" s="157">
        <f t="shared" si="253"/>
        <v>0</v>
      </c>
      <c r="CO277" s="160">
        <f t="shared" si="254"/>
        <v>0</v>
      </c>
      <c r="CP277" s="150">
        <f t="shared" si="255"/>
        <v>0</v>
      </c>
      <c r="CQ277" s="150">
        <f t="shared" si="256"/>
        <v>0</v>
      </c>
      <c r="CR277" s="176">
        <f t="shared" si="257"/>
        <v>0</v>
      </c>
      <c r="CS277" s="168">
        <f t="shared" si="258"/>
        <v>0</v>
      </c>
      <c r="CT277" s="149">
        <f t="shared" si="259"/>
        <v>0</v>
      </c>
      <c r="CU277" s="149">
        <f t="shared" si="260"/>
        <v>0</v>
      </c>
      <c r="CV277" s="157">
        <f t="shared" si="261"/>
        <v>0</v>
      </c>
      <c r="CW277" s="160">
        <f t="shared" si="262"/>
        <v>0</v>
      </c>
      <c r="CX277" s="150">
        <f t="shared" si="263"/>
        <v>0</v>
      </c>
      <c r="CY277" s="150">
        <f t="shared" si="264"/>
        <v>0</v>
      </c>
      <c r="CZ277" s="176">
        <f t="shared" si="265"/>
        <v>0</v>
      </c>
      <c r="DA277" s="168">
        <f t="shared" si="266"/>
        <v>361222.24693388265</v>
      </c>
      <c r="DB277" s="149">
        <f t="shared" si="267"/>
        <v>0</v>
      </c>
      <c r="DC277" s="149">
        <f t="shared" si="268"/>
        <v>0</v>
      </c>
      <c r="DD277" s="157">
        <f t="shared" si="269"/>
        <v>0</v>
      </c>
    </row>
    <row r="278" spans="2:108" x14ac:dyDescent="0.2">
      <c r="B278" s="182"/>
      <c r="C278" s="189"/>
      <c r="D278" s="168"/>
      <c r="E278" s="149"/>
      <c r="F278" s="149"/>
      <c r="G278" s="149"/>
      <c r="H278" s="168"/>
      <c r="I278" s="610"/>
      <c r="J278" s="610"/>
      <c r="K278" s="610"/>
      <c r="L278" s="610"/>
      <c r="M278" s="610"/>
      <c r="N278" s="610"/>
      <c r="O278" s="610"/>
      <c r="P278" s="610"/>
      <c r="Q278" s="610"/>
      <c r="R278" s="610"/>
      <c r="S278" s="610"/>
      <c r="T278" s="610"/>
      <c r="U278" s="610"/>
      <c r="V278" s="610"/>
      <c r="W278" s="610"/>
      <c r="X278" s="610"/>
      <c r="Y278" s="610"/>
      <c r="Z278" s="610"/>
      <c r="AA278" s="610"/>
      <c r="AB278" s="611"/>
      <c r="AC278" s="160"/>
      <c r="AD278" s="150"/>
      <c r="AE278" s="150"/>
      <c r="AF278" s="165"/>
      <c r="AG278" s="168"/>
      <c r="AH278" s="149"/>
      <c r="AI278" s="149"/>
      <c r="AJ278" s="171"/>
      <c r="AK278" s="160"/>
      <c r="AL278" s="150"/>
      <c r="AM278" s="150"/>
      <c r="AN278" s="165"/>
      <c r="AO278" s="168"/>
      <c r="AP278" s="149"/>
      <c r="AQ278" s="149"/>
      <c r="AR278" s="157"/>
      <c r="AS278" s="160"/>
      <c r="AT278" s="150"/>
      <c r="AU278" s="150"/>
      <c r="AV278" s="165"/>
      <c r="AW278" s="168"/>
      <c r="AX278" s="149"/>
      <c r="AY278" s="149"/>
      <c r="AZ278" s="157"/>
      <c r="BA278" s="160"/>
      <c r="BB278" s="150"/>
      <c r="BC278" s="150"/>
      <c r="BD278" s="176"/>
      <c r="BE278" s="168"/>
      <c r="BF278" s="149"/>
      <c r="BG278" s="149"/>
      <c r="BH278" s="171"/>
      <c r="BI278" s="160"/>
      <c r="BJ278" s="150"/>
      <c r="BK278" s="150"/>
      <c r="BL278" s="176"/>
      <c r="BM278" s="168"/>
      <c r="BN278" s="149"/>
      <c r="BO278" s="149"/>
      <c r="BP278" s="157"/>
      <c r="BQ278" s="160"/>
      <c r="BR278" s="150"/>
      <c r="BS278" s="150"/>
      <c r="BT278" s="176"/>
      <c r="BU278" s="168"/>
      <c r="BV278" s="149"/>
      <c r="BW278" s="149"/>
      <c r="BX278" s="157"/>
      <c r="BY278" s="160"/>
      <c r="BZ278" s="150"/>
      <c r="CA278" s="150"/>
      <c r="CB278" s="176"/>
      <c r="CC278" s="168"/>
      <c r="CD278" s="149"/>
      <c r="CE278" s="149"/>
      <c r="CF278" s="157"/>
      <c r="CG278" s="160"/>
      <c r="CH278" s="150"/>
      <c r="CI278" s="150"/>
      <c r="CJ278" s="176"/>
      <c r="CK278" s="168"/>
      <c r="CL278" s="149"/>
      <c r="CM278" s="149"/>
      <c r="CN278" s="157"/>
      <c r="CO278" s="160"/>
      <c r="CP278" s="150"/>
      <c r="CQ278" s="150"/>
      <c r="CR278" s="176"/>
      <c r="CS278" s="168"/>
      <c r="CT278" s="149"/>
      <c r="CU278" s="149"/>
      <c r="CV278" s="157"/>
      <c r="CW278" s="160"/>
      <c r="CX278" s="150"/>
      <c r="CY278" s="150"/>
      <c r="CZ278" s="176"/>
      <c r="DA278" s="168"/>
      <c r="DB278" s="149"/>
      <c r="DC278" s="149"/>
      <c r="DD278" s="157"/>
    </row>
    <row r="279" spans="2:108" x14ac:dyDescent="0.2">
      <c r="B279" s="188" t="str">
        <f>Summary!B55</f>
        <v>Miscellaneous</v>
      </c>
      <c r="C279" s="189"/>
      <c r="D279" s="168"/>
      <c r="E279" s="149"/>
      <c r="F279" s="149"/>
      <c r="G279" s="149"/>
      <c r="H279" s="168"/>
      <c r="I279" s="610"/>
      <c r="J279" s="610"/>
      <c r="K279" s="610"/>
      <c r="L279" s="610"/>
      <c r="M279" s="610"/>
      <c r="N279" s="610"/>
      <c r="O279" s="610"/>
      <c r="P279" s="610"/>
      <c r="Q279" s="610"/>
      <c r="R279" s="610"/>
      <c r="S279" s="610"/>
      <c r="T279" s="610"/>
      <c r="U279" s="610"/>
      <c r="V279" s="610"/>
      <c r="W279" s="610"/>
      <c r="X279" s="610"/>
      <c r="Y279" s="610"/>
      <c r="Z279" s="610"/>
      <c r="AA279" s="610"/>
      <c r="AB279" s="611"/>
      <c r="AC279" s="160"/>
      <c r="AD279" s="150"/>
      <c r="AE279" s="150"/>
      <c r="AF279" s="165"/>
      <c r="AG279" s="168"/>
      <c r="AH279" s="149"/>
      <c r="AI279" s="149"/>
      <c r="AJ279" s="171"/>
      <c r="AK279" s="160"/>
      <c r="AL279" s="150"/>
      <c r="AM279" s="150"/>
      <c r="AN279" s="165"/>
      <c r="AO279" s="168"/>
      <c r="AP279" s="149"/>
      <c r="AQ279" s="149"/>
      <c r="AR279" s="157"/>
      <c r="AS279" s="160"/>
      <c r="AT279" s="150"/>
      <c r="AU279" s="150"/>
      <c r="AV279" s="165"/>
      <c r="AW279" s="168"/>
      <c r="AX279" s="149"/>
      <c r="AY279" s="149"/>
      <c r="AZ279" s="157"/>
      <c r="BA279" s="160"/>
      <c r="BB279" s="150"/>
      <c r="BC279" s="150"/>
      <c r="BD279" s="176"/>
      <c r="BE279" s="168"/>
      <c r="BF279" s="149"/>
      <c r="BG279" s="149"/>
      <c r="BH279" s="171"/>
      <c r="BI279" s="160"/>
      <c r="BJ279" s="150"/>
      <c r="BK279" s="150"/>
      <c r="BL279" s="176"/>
      <c r="BM279" s="168"/>
      <c r="BN279" s="149"/>
      <c r="BO279" s="149"/>
      <c r="BP279" s="157"/>
      <c r="BQ279" s="160"/>
      <c r="BR279" s="150"/>
      <c r="BS279" s="150"/>
      <c r="BT279" s="176"/>
      <c r="BU279" s="168"/>
      <c r="BV279" s="149"/>
      <c r="BW279" s="149"/>
      <c r="BX279" s="157"/>
      <c r="BY279" s="160"/>
      <c r="BZ279" s="150"/>
      <c r="CA279" s="150"/>
      <c r="CB279" s="176"/>
      <c r="CC279" s="168"/>
      <c r="CD279" s="149"/>
      <c r="CE279" s="149"/>
      <c r="CF279" s="157"/>
      <c r="CG279" s="160"/>
      <c r="CH279" s="150"/>
      <c r="CI279" s="150"/>
      <c r="CJ279" s="176"/>
      <c r="CK279" s="168"/>
      <c r="CL279" s="149"/>
      <c r="CM279" s="149"/>
      <c r="CN279" s="157"/>
      <c r="CO279" s="160"/>
      <c r="CP279" s="150"/>
      <c r="CQ279" s="150"/>
      <c r="CR279" s="176"/>
      <c r="CS279" s="168"/>
      <c r="CT279" s="149"/>
      <c r="CU279" s="149"/>
      <c r="CV279" s="157"/>
      <c r="CW279" s="160"/>
      <c r="CX279" s="150"/>
      <c r="CY279" s="150"/>
      <c r="CZ279" s="176"/>
      <c r="DA279" s="168"/>
      <c r="DB279" s="149"/>
      <c r="DC279" s="149"/>
      <c r="DD279" s="157"/>
    </row>
    <row r="280" spans="2:108" x14ac:dyDescent="0.2">
      <c r="B280" s="647" t="s">
        <v>394</v>
      </c>
      <c r="C280" s="556">
        <v>1</v>
      </c>
      <c r="D280" s="168">
        <v>35000</v>
      </c>
      <c r="E280" s="149">
        <v>0</v>
      </c>
      <c r="F280" s="149">
        <v>0</v>
      </c>
      <c r="G280" s="149">
        <v>0</v>
      </c>
      <c r="H280" s="168">
        <f t="shared" ref="H280:H283" si="291">SUM(I280:AB280)</f>
        <v>34482.758620689659</v>
      </c>
      <c r="I280" s="610">
        <f t="shared" ref="I280:I283" si="292">-PV(InterestRate,I$8,,(SUM(AC280:AF280)))</f>
        <v>34482.758620689659</v>
      </c>
      <c r="J280" s="610">
        <f t="shared" ref="J280:J283" si="293">-PV(InterestRate,J$8,,(SUM(AG280:AJ280)))</f>
        <v>0</v>
      </c>
      <c r="K280" s="610">
        <f t="shared" ref="K280:K283" si="294">-PV(InterestRate,K$8,,(SUM(AK280:AN280)))</f>
        <v>0</v>
      </c>
      <c r="L280" s="610">
        <f t="shared" ref="L280:L283" si="295">-PV(InterestRate,L$8,,(SUM(AO280:AR280)))</f>
        <v>0</v>
      </c>
      <c r="M280" s="610">
        <f t="shared" ref="M280:M283" si="296">-PV(InterestRate,M$8,,(SUM(AS280:AV280)))</f>
        <v>0</v>
      </c>
      <c r="N280" s="610">
        <f t="shared" ref="N280:N283" si="297">-PV(InterestRate,N$8,,(SUM(AW280:AZ280)))</f>
        <v>0</v>
      </c>
      <c r="O280" s="610">
        <f t="shared" ref="O280:O283" si="298">-PV(InterestRate,O$8,,(SUM(BA280:BD280)))</f>
        <v>0</v>
      </c>
      <c r="P280" s="610">
        <f t="shared" ref="P280:P283" si="299">-PV(InterestRate,P$8,,(SUM(BE280:BH280)))</f>
        <v>0</v>
      </c>
      <c r="Q280" s="610">
        <f t="shared" ref="Q280:Q283" si="300">-PV(InterestRate,Q$8,,(SUM(BI280:BL280)))</f>
        <v>0</v>
      </c>
      <c r="R280" s="610">
        <f t="shared" ref="R280:R283" si="301">-PV(InterestRate,R$8,,(SUM(BM280:BP280)))</f>
        <v>0</v>
      </c>
      <c r="S280" s="610">
        <f t="shared" ref="S280:S283" si="302">-PV(InterestRate,S$8,,(SUM(BQ280:BT280)))</f>
        <v>0</v>
      </c>
      <c r="T280" s="610">
        <f t="shared" ref="T280:T283" si="303">-PV(InterestRate,T$8,,(SUM(BU280:BX280)))</f>
        <v>0</v>
      </c>
      <c r="U280" s="610">
        <f t="shared" ref="U280:U283" si="304">-PV(InterestRate,U$8,,(SUM(BY280:CB280)))</f>
        <v>0</v>
      </c>
      <c r="V280" s="610">
        <f t="shared" ref="V280:V283" si="305">-PV(InterestRate,V$8,,(SUM(CC280:CF280)))</f>
        <v>0</v>
      </c>
      <c r="W280" s="610">
        <f t="shared" ref="W280:W283" si="306">-PV(InterestRate,W$8,,(SUM(CG280:CJ280)))</f>
        <v>0</v>
      </c>
      <c r="X280" s="610">
        <f t="shared" ref="X280:X283" si="307">-PV(InterestRate,X$8,,(SUM(CK280:CN280)))</f>
        <v>0</v>
      </c>
      <c r="Y280" s="610">
        <f t="shared" ref="Y280:Y283" si="308">-PV(InterestRate,Y$8,,(SUM(CO280:CR280)))</f>
        <v>0</v>
      </c>
      <c r="Z280" s="610">
        <f t="shared" ref="Z280:Z283" si="309">-PV(InterestRate,Z$8,,(SUM(CS280:CV280)))</f>
        <v>0</v>
      </c>
      <c r="AA280" s="610">
        <f t="shared" ref="AA280:AA283" si="310">-PV(InterestRate,AA$8,,(SUM(CW280:CZ280)))</f>
        <v>0</v>
      </c>
      <c r="AB280" s="611">
        <f t="shared" ref="AB280:AB283" si="311">-PV(InterestRate,AB$8,,(SUM(DA280:DD280)))</f>
        <v>0</v>
      </c>
      <c r="AC280" s="160">
        <f t="shared" ref="AC280:AC289" si="312">IF($C280&gt;0,(IF($C280=$AC$7,$D280,0)),0)</f>
        <v>35000</v>
      </c>
      <c r="AD280" s="150">
        <f t="shared" ref="AD280:AD289" si="313">IF($C280&gt;0,(IF($AC$7&gt;=$C280+1,$E280,0)),0)</f>
        <v>0</v>
      </c>
      <c r="AE280" s="150">
        <f t="shared" ref="AE280:AE289" si="314">IF($C280&gt;0,(IF($C280=$AC$7,$F280,0)),0)</f>
        <v>0</v>
      </c>
      <c r="AF280" s="165">
        <f t="shared" ref="AF280:AF289" si="315">IF($C280&gt;0,(IF($AC$7&gt;=$C280+1,$G280,0)),0)</f>
        <v>0</v>
      </c>
      <c r="AG280" s="168">
        <f t="shared" ref="AG280:AG289" si="316">IF($C280&gt;0,(IF($C280=$AG$7,(-FV(InflationRate,$AG$7,,$D280)),0)),0)</f>
        <v>0</v>
      </c>
      <c r="AH280" s="149">
        <f t="shared" ref="AH280:AH289" si="317">IF($C280&gt;0,(IF($AG$7&gt;=$C280+1, (-FV(InflationRate,$AG$7,,$E280)), 0)),0)</f>
        <v>0</v>
      </c>
      <c r="AI280" s="149">
        <f t="shared" ref="AI280:AI289" si="318">IF($C280&gt;0,(IF($AG$7&gt;=$C280+1, (-FV(InflationRate,$AG$7,,$F280)), 0)),0)</f>
        <v>0</v>
      </c>
      <c r="AJ280" s="171">
        <f t="shared" ref="AJ280:AJ289" si="319">IF($C280&gt;0,(IF($AG$7&gt;=$C280+1, (-FV(InflationRate,$AG$7,,$G280)), 0)),0)</f>
        <v>0</v>
      </c>
      <c r="AK280" s="160">
        <f t="shared" ref="AK280:AK289" si="320">IF($C280&gt;0,(IF($C280=$AK$7,(-FV(InflationRate,$AK$7,,$D280)),0)),0)</f>
        <v>0</v>
      </c>
      <c r="AL280" s="150">
        <f t="shared" ref="AL280:AL289" si="321">IF($C280&gt;0,(IF($AK$7&gt;=$C280+1, (-FV(InflationRate,$AK$7,,$E280)), 0)),0)</f>
        <v>0</v>
      </c>
      <c r="AM280" s="150">
        <f t="shared" ref="AM280:AM289" si="322">IF($C280&gt;0,(IF($AK$7&gt;=$C280+1, (-FV(InflationRate,$AK$7,,$F280)), 0)),0)</f>
        <v>0</v>
      </c>
      <c r="AN280" s="165">
        <f t="shared" ref="AN280:AN289" si="323">IF($C280&gt;0,(IF($AK$7&gt;=$C280+1, (-FV(InflationRate,$AK$7,,$G280)), 0)),0)</f>
        <v>0</v>
      </c>
      <c r="AO280" s="168">
        <f t="shared" ref="AO280:AO289" si="324">IF($C280&gt;0,(IF($C280=$AO$7,(-FV(InflationRate,$AO$7,,$D280)),0)),0)</f>
        <v>0</v>
      </c>
      <c r="AP280" s="149">
        <f t="shared" ref="AP280:AP289" si="325">IF($C280&gt;0,(IF($AO$7&gt;=$C280+1, (-FV(InflationRate,$AO$7,,$E280)), 0)),0)</f>
        <v>0</v>
      </c>
      <c r="AQ280" s="149">
        <f t="shared" ref="AQ280:AQ289" si="326">IF($C280&gt;0,(IF($AO$7&gt;=$C280+1, (-FV(InflationRate,$AO$7,,$F280)), 0)),0)</f>
        <v>0</v>
      </c>
      <c r="AR280" s="157">
        <f t="shared" ref="AR280:AR289" si="327">IF($C280&gt;0,(IF($AO$7&gt;=$C280+1, (-FV(InflationRate,$AO$7,,$G280)), 0)),0)</f>
        <v>0</v>
      </c>
      <c r="AS280" s="160">
        <f t="shared" ref="AS280:AS289" si="328">IF($C280&gt;0,(IF($C280=$AS$7,(-FV(InflationRate,$AS$7,,$D280)),0)),0)</f>
        <v>0</v>
      </c>
      <c r="AT280" s="150">
        <f t="shared" ref="AT280:AT289" si="329">IF($C280&gt;0,(IF($AS$7&gt;=$C280+1, (-FV(InflationRate,$AS$7,,$E280)), 0)),0)</f>
        <v>0</v>
      </c>
      <c r="AU280" s="150">
        <f t="shared" ref="AU280:AU289" si="330">IF($C280&gt;0,(IF($AS$7&gt;=$C280+1, (-FV(InflationRate,$AS$7,,$F280)), 0)),0)</f>
        <v>0</v>
      </c>
      <c r="AV280" s="165">
        <f t="shared" ref="AV280:AV289" si="331">IF($C280&gt;0,(IF($AS$7&gt;=$C280+1, (-FV(InflationRate,$AS$7,,$G280)), 0)),0)</f>
        <v>0</v>
      </c>
      <c r="AW280" s="168">
        <f t="shared" ref="AW280:AW289" si="332">IF($C280&gt;0,(IF($C280=$AW$7,(-FV(InflationRate,$AW$7,,$D280)),0)),0)</f>
        <v>0</v>
      </c>
      <c r="AX280" s="149">
        <f t="shared" ref="AX280:AX289" si="333">IF($C280&gt;0,(IF($AW$7&gt;=$C280+1, (-FV(InflationRate,$AW$7,,$E280)), 0)),0)</f>
        <v>0</v>
      </c>
      <c r="AY280" s="149">
        <f t="shared" ref="AY280:AY289" si="334">IF($C280&gt;0,(IF($AW$7&gt;=$C280+1, (-FV(InflationRate,$AW$7,,$F280)), 0)),0)</f>
        <v>0</v>
      </c>
      <c r="AZ280" s="157">
        <f t="shared" ref="AZ280:AZ289" si="335">IF($C280&gt;0,(IF($AW$7&gt;=$C280+1, (-FV(InflationRate,$AW$7,,$G280)), 0)),0)</f>
        <v>0</v>
      </c>
      <c r="BA280" s="160">
        <f t="shared" ref="BA280:BA289" si="336">IF($C280&gt;0,(IF($C280=$BA$7,(-FV(InflationRate,$BA$7,,$D280)),0)),0)</f>
        <v>0</v>
      </c>
      <c r="BB280" s="150">
        <f t="shared" ref="BB280:BB289" si="337">IF($C280&gt;0,(IF($BA$7&gt;=$C280+1, (-FV(InflationRate,$BA$7,,$E280)), 0)),0)</f>
        <v>0</v>
      </c>
      <c r="BC280" s="150">
        <f t="shared" ref="BC280:BC289" si="338">IF($C280&gt;0,(IF($BA$7&gt;=$C280+1, (-FV(InflationRate,$BA$7,,$F280)), 0)),0)</f>
        <v>0</v>
      </c>
      <c r="BD280" s="176">
        <f t="shared" ref="BD280:BD289" si="339">IF($C280&gt;0,(IF($BA$7&gt;=$C280+1, (-FV(InflationRate,$BA$7,,$G280)), 0)),0)</f>
        <v>0</v>
      </c>
      <c r="BE280" s="168">
        <f t="shared" ref="BE280:BE289" si="340">IF($C280&gt;0,(IF($C280=$BE$7,(-FV(InflationRate,$BE$7,,$D280)),0)),0)</f>
        <v>0</v>
      </c>
      <c r="BF280" s="149">
        <f t="shared" ref="BF280:BF289" si="341">IF($C280&gt;0,(IF($BE$7&gt;=$C280+1, (-FV(InflationRate,$BE$7,,$E280)), 0)),0)</f>
        <v>0</v>
      </c>
      <c r="BG280" s="149">
        <f t="shared" ref="BG280:BG289" si="342">IF($C280&gt;0,(IF($BE$7&gt;=$C280+1, (-FV(InflationRate,$BE$7,,$F280)), 0)),0)</f>
        <v>0</v>
      </c>
      <c r="BH280" s="171">
        <f t="shared" ref="BH280:BH289" si="343">IF($C280&gt;0,(IF($BE$7&gt;=$C280+1, (-FV(InflationRate,$BE$7,,$G280)), 0)),0)</f>
        <v>0</v>
      </c>
      <c r="BI280" s="160">
        <f t="shared" ref="BI280:BI289" si="344">IF($C280&gt;0,(IF($C280=$BI$7,(-FV(InflationRate,$BI$7,,$D280)),0)),0)</f>
        <v>0</v>
      </c>
      <c r="BJ280" s="150">
        <f t="shared" ref="BJ280:BJ289" si="345">IF($C280&gt;0,(IF($BI$7&gt;=$C280+1, (-FV(InflationRate,$BI$7,,$E280)), 0)),0)</f>
        <v>0</v>
      </c>
      <c r="BK280" s="150">
        <f t="shared" ref="BK280:BK289" si="346">IF($C280&gt;0,(IF($BI$7&gt;=$C280+1, (-FV(InflationRate,$BI$7,,$F280)), 0)),0)</f>
        <v>0</v>
      </c>
      <c r="BL280" s="176">
        <f t="shared" ref="BL280:BL289" si="347">IF($C280&gt;0,(IF($BI$7&gt;=$C280+1, (-FV(InflationRate,$BI$7,,$G280)), 0)),0)</f>
        <v>0</v>
      </c>
      <c r="BM280" s="168">
        <f t="shared" ref="BM280:BM289" si="348">IF($C280&gt;0,(IF($C280=$BM$7,(-FV(InflationRate,$BM$7,,$D280)),0)),0)</f>
        <v>0</v>
      </c>
      <c r="BN280" s="149">
        <f t="shared" ref="BN280:BN289" si="349">IF($C280&gt;0,(IF($BM$7&gt;=$C280+1, (-FV(InflationRate,$BM$7,,$E280)), 0)),0)</f>
        <v>0</v>
      </c>
      <c r="BO280" s="149">
        <f t="shared" ref="BO280:BO289" si="350">IF($C280&gt;0,(IF($BM$7&gt;=$C280+1, (-FV(InflationRate,$BM$7,,$F280)), 0)),0)</f>
        <v>0</v>
      </c>
      <c r="BP280" s="157">
        <f t="shared" ref="BP280:BP289" si="351">IF($C280&gt;0,(IF($BM$7&gt;=$C280+1, (-FV(InflationRate,$BM$7,,$G280)), 0)),0)</f>
        <v>0</v>
      </c>
      <c r="BQ280" s="160">
        <f t="shared" ref="BQ280:BQ289" si="352">IF($C280&gt;0,(IF($C280=$BQ$7,(-FV(InflationRate,$BQ$7,,$D280)),0)),0)</f>
        <v>0</v>
      </c>
      <c r="BR280" s="150">
        <f t="shared" ref="BR280:BR289" si="353">IF($C280&gt;0,(IF($BQ$7&gt;=$C280+1, (-FV(InflationRate,$BQ$7,,$E280)), 0)),0)</f>
        <v>0</v>
      </c>
      <c r="BS280" s="150">
        <f t="shared" ref="BS280:BS289" si="354">IF($C280&gt;0,(IF($BQ$7&gt;=$C280+1, (-FV(InflationRate,$BQ$7,,$F280)), 0)),0)</f>
        <v>0</v>
      </c>
      <c r="BT280" s="176">
        <f t="shared" ref="BT280:BT289" si="355">IF($C280&gt;0,(IF($BQ$7&gt;=$C280+1, (-FV(InflationRate,$BQ$7,,$G280)), 0)),0)</f>
        <v>0</v>
      </c>
      <c r="BU280" s="168">
        <f t="shared" ref="BU280:BU289" si="356">IF($C280&gt;0,(IF($C280=$BU$7,(-FV(InflationRate,$BU$7,,$D280)),0)),0)</f>
        <v>0</v>
      </c>
      <c r="BV280" s="149">
        <f t="shared" ref="BV280:BV289" si="357">IF($C280&gt;0,(IF($BU$7&gt;=$C280+1, (-FV(InflationRate,$BU$7,,$E280)), 0)),0)</f>
        <v>0</v>
      </c>
      <c r="BW280" s="149">
        <f t="shared" ref="BW280:BW289" si="358">IF($C280&gt;0,(IF($BU$7&gt;=$C280+1, (-FV(InflationRate,$BU$7,,$F280)), 0)),0)</f>
        <v>0</v>
      </c>
      <c r="BX280" s="157">
        <f t="shared" ref="BX280:BX289" si="359">IF($C280&gt;0,(IF($BU$7&gt;=$C280+1, (-FV(InflationRate,$BU$7,,$G280)), 0)),0)</f>
        <v>0</v>
      </c>
      <c r="BY280" s="160">
        <f t="shared" ref="BY280:BY289" si="360">IF($C280&gt;0,(IF($C280=$BY$7,(-FV(InflationRate,$BY$7,,$D280)),0)),0)</f>
        <v>0</v>
      </c>
      <c r="BZ280" s="150">
        <f t="shared" ref="BZ280:BZ289" si="361">IF($C280&gt;0,(IF($BY$7&gt;=$C280+1, (-FV(InflationRate,$BY$7,,$E280)), 0)),0)</f>
        <v>0</v>
      </c>
      <c r="CA280" s="150">
        <f t="shared" ref="CA280:CA289" si="362">IF($C280&gt;0,(IF($BY$7&gt;=$C280+1, (-FV(InflationRate,$BY$7,,$F280)), 0)),0)</f>
        <v>0</v>
      </c>
      <c r="CB280" s="176">
        <f t="shared" ref="CB280:CB289" si="363">IF($C280&gt;0,(IF($BY$7&gt;=$C280+1, (-FV(InflationRate,$BY$7,,$G280)), 0)),0)</f>
        <v>0</v>
      </c>
      <c r="CC280" s="168">
        <f t="shared" ref="CC280:CC289" si="364">IF($C280&gt;0,(IF($C280=$CC$7,(-FV(InflationRate,$CC$7,,$D280)),0)),0)</f>
        <v>0</v>
      </c>
      <c r="CD280" s="149">
        <f t="shared" ref="CD280:CD289" si="365">IF($C280&gt;0,(IF($CC$7&gt;=$C280+1, (-FV(InflationRate,$CC$7,,$E280)), 0)),0)</f>
        <v>0</v>
      </c>
      <c r="CE280" s="149">
        <f t="shared" ref="CE280:CE289" si="366">IF($C280&gt;0,(IF($CC$7&gt;=$C280+1, (-FV(InflationRate,$CC$7,,$F280)), 0)),0)</f>
        <v>0</v>
      </c>
      <c r="CF280" s="157">
        <f t="shared" ref="CF280:CF289" si="367">IF($C280&gt;0,(IF($CC$7&gt;=$C280+1, (-FV(InflationRate,$CC$7,,$G280)), 0)),0)</f>
        <v>0</v>
      </c>
      <c r="CG280" s="160">
        <f t="shared" ref="CG280:CG289" si="368">IF($C280&gt;0,(IF($C280=$CG$7,(-FV(InflationRate,$CG$7,,$D280)),0)),0)</f>
        <v>0</v>
      </c>
      <c r="CH280" s="150">
        <f t="shared" ref="CH280:CH289" si="369">IF($C280&gt;0,(IF($CG$7&gt;=$C280+1, (-FV(InflationRate,$CG$7,,$E280)), 0)),0)</f>
        <v>0</v>
      </c>
      <c r="CI280" s="150">
        <f t="shared" ref="CI280:CI289" si="370">IF($C280&gt;0,(IF($CG$7&gt;=$C280+1, (-FV(InflationRate,$CG$7,,$F280)), 0)),0)</f>
        <v>0</v>
      </c>
      <c r="CJ280" s="176">
        <f t="shared" ref="CJ280:CJ289" si="371">IF($C280&gt;0,(IF($CG$7&gt;=$C280+1, (-FV(InflationRate,$CG$7,,$G280)), 0)),0)</f>
        <v>0</v>
      </c>
      <c r="CK280" s="168">
        <f t="shared" ref="CK280:CK289" si="372">IF($C280&gt;0,(IF($C280=$CK$7,(-FV(InflationRate,$CK$7,,$D280)),0)),0)</f>
        <v>0</v>
      </c>
      <c r="CL280" s="149">
        <f t="shared" ref="CL280:CL289" si="373">IF($C280&gt;0,(IF($CK$7&gt;=$C280+1, (-FV(InflationRate,$CK$7,,$E280)), 0)),0)</f>
        <v>0</v>
      </c>
      <c r="CM280" s="149">
        <f t="shared" ref="CM280:CM289" si="374">IF($C280&gt;0,(IF($CK$7&gt;=$C280+1, (-FV(InflationRate,$CK$7,,$F280)), 0)),0)</f>
        <v>0</v>
      </c>
      <c r="CN280" s="157">
        <f t="shared" ref="CN280:CN289" si="375">IF($C280&gt;0,(IF($CK$7&gt;=$C280+1, (-FV(InflationRate,$CK$7,,$G280)), 0)),0)</f>
        <v>0</v>
      </c>
      <c r="CO280" s="160">
        <f t="shared" ref="CO280:CO289" si="376">IF($C280&gt;0,(IF($C280=$CO$7,(-FV(InflationRate,$CO$7,,$D280)),0)),0)</f>
        <v>0</v>
      </c>
      <c r="CP280" s="150">
        <f t="shared" ref="CP280:CP289" si="377">IF($C280&gt;0,(IF($CO$7&gt;=$C280+1, (-FV(InflationRate,$CO$7,,$E280)), 0)),0)</f>
        <v>0</v>
      </c>
      <c r="CQ280" s="150">
        <f t="shared" ref="CQ280:CQ289" si="378">IF($C280&gt;0,(IF($CO$7&gt;=$C280+1, (-FV(InflationRate,$CO$7,,$F280)), 0)),0)</f>
        <v>0</v>
      </c>
      <c r="CR280" s="176">
        <f t="shared" ref="CR280:CR289" si="379">IF($C280&gt;0,(IF($CO$7&gt;=$C280+1, (-FV(InflationRate,$CO$7,,$G280)), 0)),0)</f>
        <v>0</v>
      </c>
      <c r="CS280" s="168">
        <f t="shared" ref="CS280:CS289" si="380">IF($C280&gt;0,(IF($C280=$CS$7,(-FV(InflationRate,$CS$7,,$D280)),0)),0)</f>
        <v>0</v>
      </c>
      <c r="CT280" s="149">
        <f t="shared" ref="CT280:CT289" si="381">IF($C280&gt;0,(IF($CS$7&gt;=$C280+1, (-FV(InflationRate,$CS$7,,$E280)), 0)),0)</f>
        <v>0</v>
      </c>
      <c r="CU280" s="149">
        <f t="shared" ref="CU280:CU289" si="382">IF($C280&gt;0,(IF($CS$7&gt;=$C280+1, (-FV(InflationRate,$CS$7,,$F280)), 0)),0)</f>
        <v>0</v>
      </c>
      <c r="CV280" s="157">
        <f t="shared" ref="CV280:CV289" si="383">IF($C280&gt;0,(IF($CS$7&gt;=$C280+1, (-FV(InflationRate,$CS$7,,$G280)), 0)),0)</f>
        <v>0</v>
      </c>
      <c r="CW280" s="160">
        <f t="shared" ref="CW280:CW289" si="384">IF($C280&gt;0,(IF($C280=$CW$7,(-FV(InflationRate,$CW$7,,$D280)),0)),0)</f>
        <v>0</v>
      </c>
      <c r="CX280" s="150">
        <f t="shared" ref="CX280:CX289" si="385">IF($C280&gt;0,(IF($CW$7&gt;=$C280+1, (-FV(InflationRate,$CW$7,,$E280)), 0)),0)</f>
        <v>0</v>
      </c>
      <c r="CY280" s="150">
        <f t="shared" ref="CY280:CY289" si="386">IF($C280&gt;0,(IF($CW$7&gt;=$C280+1, (-FV(InflationRate,$CW$7,,$F280)), 0)),0)</f>
        <v>0</v>
      </c>
      <c r="CZ280" s="176">
        <f t="shared" ref="CZ280:CZ289" si="387">IF($C280&gt;0,(IF($CW$7&gt;=$C280+1, (-FV(InflationRate,$CW$7,,$G280)), 0)),0)</f>
        <v>0</v>
      </c>
      <c r="DA280" s="168">
        <f t="shared" ref="DA280:DA289" si="388">IF($C280&gt;0,(IF($C280=$DA$7,(-FV(InflationRate,$DA$7,,$D280)),0)),0)</f>
        <v>0</v>
      </c>
      <c r="DB280" s="149">
        <f t="shared" ref="DB280:DB289" si="389">IF($C280&gt;0,(IF($DA$7&gt;=$C280+1, (-FV(InflationRate,$DA$7,,$E280)), 0)),0)</f>
        <v>0</v>
      </c>
      <c r="DC280" s="149">
        <f t="shared" ref="DC280:DC289" si="390">IF($C280&gt;0,(IF($DA$7&gt;=$C280+1, (-FV(InflationRate,$DA$7,,$F280)), 0)),0)</f>
        <v>0</v>
      </c>
      <c r="DD280" s="157">
        <f t="shared" ref="DD280:DD289" si="391">IF($C280&gt;0,(IF($DA$7&gt;=$C280+1, (-FV(InflationRate,$DA$7,,$G280)), 0)),0)</f>
        <v>0</v>
      </c>
    </row>
    <row r="281" spans="2:108" x14ac:dyDescent="0.2">
      <c r="B281" s="647" t="s">
        <v>395</v>
      </c>
      <c r="C281" s="556">
        <v>1</v>
      </c>
      <c r="D281" s="168">
        <v>14000</v>
      </c>
      <c r="E281" s="149">
        <v>0</v>
      </c>
      <c r="F281" s="149">
        <v>0</v>
      </c>
      <c r="G281" s="149">
        <v>0</v>
      </c>
      <c r="H281" s="168">
        <f t="shared" si="291"/>
        <v>13793.103448275864</v>
      </c>
      <c r="I281" s="610">
        <f t="shared" si="292"/>
        <v>13793.103448275864</v>
      </c>
      <c r="J281" s="610">
        <f t="shared" si="293"/>
        <v>0</v>
      </c>
      <c r="K281" s="610">
        <f t="shared" si="294"/>
        <v>0</v>
      </c>
      <c r="L281" s="610">
        <f t="shared" si="295"/>
        <v>0</v>
      </c>
      <c r="M281" s="610">
        <f t="shared" si="296"/>
        <v>0</v>
      </c>
      <c r="N281" s="610">
        <f t="shared" si="297"/>
        <v>0</v>
      </c>
      <c r="O281" s="610">
        <f t="shared" si="298"/>
        <v>0</v>
      </c>
      <c r="P281" s="610">
        <f t="shared" si="299"/>
        <v>0</v>
      </c>
      <c r="Q281" s="610">
        <f t="shared" si="300"/>
        <v>0</v>
      </c>
      <c r="R281" s="610">
        <f t="shared" si="301"/>
        <v>0</v>
      </c>
      <c r="S281" s="610">
        <f t="shared" si="302"/>
        <v>0</v>
      </c>
      <c r="T281" s="610">
        <f t="shared" si="303"/>
        <v>0</v>
      </c>
      <c r="U281" s="610">
        <f t="shared" si="304"/>
        <v>0</v>
      </c>
      <c r="V281" s="610">
        <f t="shared" si="305"/>
        <v>0</v>
      </c>
      <c r="W281" s="610">
        <f t="shared" si="306"/>
        <v>0</v>
      </c>
      <c r="X281" s="610">
        <f t="shared" si="307"/>
        <v>0</v>
      </c>
      <c r="Y281" s="610">
        <f t="shared" si="308"/>
        <v>0</v>
      </c>
      <c r="Z281" s="610">
        <f t="shared" si="309"/>
        <v>0</v>
      </c>
      <c r="AA281" s="610">
        <f t="shared" si="310"/>
        <v>0</v>
      </c>
      <c r="AB281" s="611">
        <f t="shared" si="311"/>
        <v>0</v>
      </c>
      <c r="AC281" s="160">
        <f t="shared" si="312"/>
        <v>14000</v>
      </c>
      <c r="AD281" s="150">
        <f t="shared" si="313"/>
        <v>0</v>
      </c>
      <c r="AE281" s="150">
        <f t="shared" si="314"/>
        <v>0</v>
      </c>
      <c r="AF281" s="165">
        <f t="shared" si="315"/>
        <v>0</v>
      </c>
      <c r="AG281" s="168">
        <f t="shared" si="316"/>
        <v>0</v>
      </c>
      <c r="AH281" s="149">
        <f t="shared" si="317"/>
        <v>0</v>
      </c>
      <c r="AI281" s="149">
        <f t="shared" si="318"/>
        <v>0</v>
      </c>
      <c r="AJ281" s="171">
        <f t="shared" si="319"/>
        <v>0</v>
      </c>
      <c r="AK281" s="160">
        <f t="shared" si="320"/>
        <v>0</v>
      </c>
      <c r="AL281" s="150">
        <f t="shared" si="321"/>
        <v>0</v>
      </c>
      <c r="AM281" s="150">
        <f t="shared" si="322"/>
        <v>0</v>
      </c>
      <c r="AN281" s="165">
        <f t="shared" si="323"/>
        <v>0</v>
      </c>
      <c r="AO281" s="168">
        <f t="shared" si="324"/>
        <v>0</v>
      </c>
      <c r="AP281" s="149">
        <f t="shared" si="325"/>
        <v>0</v>
      </c>
      <c r="AQ281" s="149">
        <f t="shared" si="326"/>
        <v>0</v>
      </c>
      <c r="AR281" s="157">
        <f t="shared" si="327"/>
        <v>0</v>
      </c>
      <c r="AS281" s="160">
        <f t="shared" si="328"/>
        <v>0</v>
      </c>
      <c r="AT281" s="150">
        <f t="shared" si="329"/>
        <v>0</v>
      </c>
      <c r="AU281" s="150">
        <f t="shared" si="330"/>
        <v>0</v>
      </c>
      <c r="AV281" s="165">
        <f t="shared" si="331"/>
        <v>0</v>
      </c>
      <c r="AW281" s="168">
        <f t="shared" si="332"/>
        <v>0</v>
      </c>
      <c r="AX281" s="149">
        <f t="shared" si="333"/>
        <v>0</v>
      </c>
      <c r="AY281" s="149">
        <f t="shared" si="334"/>
        <v>0</v>
      </c>
      <c r="AZ281" s="157">
        <f t="shared" si="335"/>
        <v>0</v>
      </c>
      <c r="BA281" s="160">
        <f t="shared" si="336"/>
        <v>0</v>
      </c>
      <c r="BB281" s="150">
        <f t="shared" si="337"/>
        <v>0</v>
      </c>
      <c r="BC281" s="150">
        <f t="shared" si="338"/>
        <v>0</v>
      </c>
      <c r="BD281" s="176">
        <f t="shared" si="339"/>
        <v>0</v>
      </c>
      <c r="BE281" s="168">
        <f t="shared" si="340"/>
        <v>0</v>
      </c>
      <c r="BF281" s="149">
        <f t="shared" si="341"/>
        <v>0</v>
      </c>
      <c r="BG281" s="149">
        <f t="shared" si="342"/>
        <v>0</v>
      </c>
      <c r="BH281" s="171">
        <f t="shared" si="343"/>
        <v>0</v>
      </c>
      <c r="BI281" s="160">
        <f t="shared" si="344"/>
        <v>0</v>
      </c>
      <c r="BJ281" s="150">
        <f t="shared" si="345"/>
        <v>0</v>
      </c>
      <c r="BK281" s="150">
        <f t="shared" si="346"/>
        <v>0</v>
      </c>
      <c r="BL281" s="176">
        <f t="shared" si="347"/>
        <v>0</v>
      </c>
      <c r="BM281" s="168">
        <f t="shared" si="348"/>
        <v>0</v>
      </c>
      <c r="BN281" s="149">
        <f t="shared" si="349"/>
        <v>0</v>
      </c>
      <c r="BO281" s="149">
        <f t="shared" si="350"/>
        <v>0</v>
      </c>
      <c r="BP281" s="157">
        <f t="shared" si="351"/>
        <v>0</v>
      </c>
      <c r="BQ281" s="160">
        <f t="shared" si="352"/>
        <v>0</v>
      </c>
      <c r="BR281" s="150">
        <f t="shared" si="353"/>
        <v>0</v>
      </c>
      <c r="BS281" s="150">
        <f t="shared" si="354"/>
        <v>0</v>
      </c>
      <c r="BT281" s="176">
        <f t="shared" si="355"/>
        <v>0</v>
      </c>
      <c r="BU281" s="168">
        <f t="shared" si="356"/>
        <v>0</v>
      </c>
      <c r="BV281" s="149">
        <f t="shared" si="357"/>
        <v>0</v>
      </c>
      <c r="BW281" s="149">
        <f t="shared" si="358"/>
        <v>0</v>
      </c>
      <c r="BX281" s="157">
        <f t="shared" si="359"/>
        <v>0</v>
      </c>
      <c r="BY281" s="160">
        <f t="shared" si="360"/>
        <v>0</v>
      </c>
      <c r="BZ281" s="150">
        <f t="shared" si="361"/>
        <v>0</v>
      </c>
      <c r="CA281" s="150">
        <f t="shared" si="362"/>
        <v>0</v>
      </c>
      <c r="CB281" s="176">
        <f t="shared" si="363"/>
        <v>0</v>
      </c>
      <c r="CC281" s="168">
        <f t="shared" si="364"/>
        <v>0</v>
      </c>
      <c r="CD281" s="149">
        <f t="shared" si="365"/>
        <v>0</v>
      </c>
      <c r="CE281" s="149">
        <f t="shared" si="366"/>
        <v>0</v>
      </c>
      <c r="CF281" s="157">
        <f t="shared" si="367"/>
        <v>0</v>
      </c>
      <c r="CG281" s="160">
        <f t="shared" si="368"/>
        <v>0</v>
      </c>
      <c r="CH281" s="150">
        <f t="shared" si="369"/>
        <v>0</v>
      </c>
      <c r="CI281" s="150">
        <f t="shared" si="370"/>
        <v>0</v>
      </c>
      <c r="CJ281" s="176">
        <f t="shared" si="371"/>
        <v>0</v>
      </c>
      <c r="CK281" s="168">
        <f t="shared" si="372"/>
        <v>0</v>
      </c>
      <c r="CL281" s="149">
        <f t="shared" si="373"/>
        <v>0</v>
      </c>
      <c r="CM281" s="149">
        <f t="shared" si="374"/>
        <v>0</v>
      </c>
      <c r="CN281" s="157">
        <f t="shared" si="375"/>
        <v>0</v>
      </c>
      <c r="CO281" s="160">
        <f t="shared" si="376"/>
        <v>0</v>
      </c>
      <c r="CP281" s="150">
        <f t="shared" si="377"/>
        <v>0</v>
      </c>
      <c r="CQ281" s="150">
        <f t="shared" si="378"/>
        <v>0</v>
      </c>
      <c r="CR281" s="176">
        <f t="shared" si="379"/>
        <v>0</v>
      </c>
      <c r="CS281" s="168">
        <f t="shared" si="380"/>
        <v>0</v>
      </c>
      <c r="CT281" s="149">
        <f t="shared" si="381"/>
        <v>0</v>
      </c>
      <c r="CU281" s="149">
        <f t="shared" si="382"/>
        <v>0</v>
      </c>
      <c r="CV281" s="157">
        <f t="shared" si="383"/>
        <v>0</v>
      </c>
      <c r="CW281" s="160">
        <f t="shared" si="384"/>
        <v>0</v>
      </c>
      <c r="CX281" s="150">
        <f t="shared" si="385"/>
        <v>0</v>
      </c>
      <c r="CY281" s="150">
        <f t="shared" si="386"/>
        <v>0</v>
      </c>
      <c r="CZ281" s="176">
        <f t="shared" si="387"/>
        <v>0</v>
      </c>
      <c r="DA281" s="168">
        <f t="shared" si="388"/>
        <v>0</v>
      </c>
      <c r="DB281" s="149">
        <f t="shared" si="389"/>
        <v>0</v>
      </c>
      <c r="DC281" s="149">
        <f t="shared" si="390"/>
        <v>0</v>
      </c>
      <c r="DD281" s="157">
        <f t="shared" si="391"/>
        <v>0</v>
      </c>
    </row>
    <row r="282" spans="2:108" x14ac:dyDescent="0.2">
      <c r="B282" s="647" t="s">
        <v>515</v>
      </c>
      <c r="C282" s="556">
        <v>1</v>
      </c>
      <c r="D282" s="168">
        <v>15000</v>
      </c>
      <c r="E282" s="149">
        <v>0</v>
      </c>
      <c r="F282" s="149">
        <v>0</v>
      </c>
      <c r="G282" s="149">
        <v>0</v>
      </c>
      <c r="H282" s="168">
        <f t="shared" si="291"/>
        <v>14778.32512315271</v>
      </c>
      <c r="I282" s="610">
        <f t="shared" si="292"/>
        <v>14778.32512315271</v>
      </c>
      <c r="J282" s="610">
        <f t="shared" si="293"/>
        <v>0</v>
      </c>
      <c r="K282" s="610">
        <f t="shared" si="294"/>
        <v>0</v>
      </c>
      <c r="L282" s="610">
        <f t="shared" si="295"/>
        <v>0</v>
      </c>
      <c r="M282" s="610">
        <f t="shared" si="296"/>
        <v>0</v>
      </c>
      <c r="N282" s="610">
        <f t="shared" si="297"/>
        <v>0</v>
      </c>
      <c r="O282" s="610">
        <f t="shared" si="298"/>
        <v>0</v>
      </c>
      <c r="P282" s="610">
        <f t="shared" si="299"/>
        <v>0</v>
      </c>
      <c r="Q282" s="610">
        <f t="shared" si="300"/>
        <v>0</v>
      </c>
      <c r="R282" s="610">
        <f t="shared" si="301"/>
        <v>0</v>
      </c>
      <c r="S282" s="610">
        <f t="shared" si="302"/>
        <v>0</v>
      </c>
      <c r="T282" s="610">
        <f t="shared" si="303"/>
        <v>0</v>
      </c>
      <c r="U282" s="610">
        <f t="shared" si="304"/>
        <v>0</v>
      </c>
      <c r="V282" s="610">
        <f t="shared" si="305"/>
        <v>0</v>
      </c>
      <c r="W282" s="610">
        <f t="shared" si="306"/>
        <v>0</v>
      </c>
      <c r="X282" s="610">
        <f t="shared" si="307"/>
        <v>0</v>
      </c>
      <c r="Y282" s="610">
        <f t="shared" si="308"/>
        <v>0</v>
      </c>
      <c r="Z282" s="610">
        <f t="shared" si="309"/>
        <v>0</v>
      </c>
      <c r="AA282" s="610">
        <f t="shared" si="310"/>
        <v>0</v>
      </c>
      <c r="AB282" s="611">
        <f t="shared" si="311"/>
        <v>0</v>
      </c>
      <c r="AC282" s="160">
        <f t="shared" si="312"/>
        <v>15000</v>
      </c>
      <c r="AD282" s="150">
        <f t="shared" si="313"/>
        <v>0</v>
      </c>
      <c r="AE282" s="150">
        <f t="shared" si="314"/>
        <v>0</v>
      </c>
      <c r="AF282" s="165">
        <f t="shared" si="315"/>
        <v>0</v>
      </c>
      <c r="AG282" s="168">
        <f t="shared" si="316"/>
        <v>0</v>
      </c>
      <c r="AH282" s="149">
        <f t="shared" si="317"/>
        <v>0</v>
      </c>
      <c r="AI282" s="149">
        <f t="shared" si="318"/>
        <v>0</v>
      </c>
      <c r="AJ282" s="171">
        <f t="shared" si="319"/>
        <v>0</v>
      </c>
      <c r="AK282" s="160">
        <f t="shared" si="320"/>
        <v>0</v>
      </c>
      <c r="AL282" s="150">
        <f t="shared" si="321"/>
        <v>0</v>
      </c>
      <c r="AM282" s="150">
        <f t="shared" si="322"/>
        <v>0</v>
      </c>
      <c r="AN282" s="165">
        <f t="shared" si="323"/>
        <v>0</v>
      </c>
      <c r="AO282" s="168">
        <f t="shared" si="324"/>
        <v>0</v>
      </c>
      <c r="AP282" s="149">
        <f t="shared" si="325"/>
        <v>0</v>
      </c>
      <c r="AQ282" s="149">
        <f t="shared" si="326"/>
        <v>0</v>
      </c>
      <c r="AR282" s="157">
        <f t="shared" si="327"/>
        <v>0</v>
      </c>
      <c r="AS282" s="160">
        <f t="shared" si="328"/>
        <v>0</v>
      </c>
      <c r="AT282" s="150">
        <f t="shared" si="329"/>
        <v>0</v>
      </c>
      <c r="AU282" s="150">
        <f t="shared" si="330"/>
        <v>0</v>
      </c>
      <c r="AV282" s="165">
        <f t="shared" si="331"/>
        <v>0</v>
      </c>
      <c r="AW282" s="168">
        <f t="shared" si="332"/>
        <v>0</v>
      </c>
      <c r="AX282" s="149">
        <f t="shared" si="333"/>
        <v>0</v>
      </c>
      <c r="AY282" s="149">
        <f t="shared" si="334"/>
        <v>0</v>
      </c>
      <c r="AZ282" s="157">
        <f t="shared" si="335"/>
        <v>0</v>
      </c>
      <c r="BA282" s="160">
        <f t="shared" si="336"/>
        <v>0</v>
      </c>
      <c r="BB282" s="150">
        <f t="shared" si="337"/>
        <v>0</v>
      </c>
      <c r="BC282" s="150">
        <f t="shared" si="338"/>
        <v>0</v>
      </c>
      <c r="BD282" s="176">
        <f t="shared" si="339"/>
        <v>0</v>
      </c>
      <c r="BE282" s="168">
        <f t="shared" si="340"/>
        <v>0</v>
      </c>
      <c r="BF282" s="149">
        <f t="shared" si="341"/>
        <v>0</v>
      </c>
      <c r="BG282" s="149">
        <f t="shared" si="342"/>
        <v>0</v>
      </c>
      <c r="BH282" s="171">
        <f t="shared" si="343"/>
        <v>0</v>
      </c>
      <c r="BI282" s="160">
        <f t="shared" si="344"/>
        <v>0</v>
      </c>
      <c r="BJ282" s="150">
        <f t="shared" si="345"/>
        <v>0</v>
      </c>
      <c r="BK282" s="150">
        <f t="shared" si="346"/>
        <v>0</v>
      </c>
      <c r="BL282" s="176">
        <f t="shared" si="347"/>
        <v>0</v>
      </c>
      <c r="BM282" s="168">
        <f t="shared" si="348"/>
        <v>0</v>
      </c>
      <c r="BN282" s="149">
        <f t="shared" si="349"/>
        <v>0</v>
      </c>
      <c r="BO282" s="149">
        <f t="shared" si="350"/>
        <v>0</v>
      </c>
      <c r="BP282" s="157">
        <f t="shared" si="351"/>
        <v>0</v>
      </c>
      <c r="BQ282" s="160">
        <f t="shared" si="352"/>
        <v>0</v>
      </c>
      <c r="BR282" s="150">
        <f t="shared" si="353"/>
        <v>0</v>
      </c>
      <c r="BS282" s="150">
        <f t="shared" si="354"/>
        <v>0</v>
      </c>
      <c r="BT282" s="176">
        <f t="shared" si="355"/>
        <v>0</v>
      </c>
      <c r="BU282" s="168">
        <f t="shared" si="356"/>
        <v>0</v>
      </c>
      <c r="BV282" s="149">
        <f t="shared" si="357"/>
        <v>0</v>
      </c>
      <c r="BW282" s="149">
        <f t="shared" si="358"/>
        <v>0</v>
      </c>
      <c r="BX282" s="157">
        <f t="shared" si="359"/>
        <v>0</v>
      </c>
      <c r="BY282" s="160">
        <f t="shared" si="360"/>
        <v>0</v>
      </c>
      <c r="BZ282" s="150">
        <f t="shared" si="361"/>
        <v>0</v>
      </c>
      <c r="CA282" s="150">
        <f t="shared" si="362"/>
        <v>0</v>
      </c>
      <c r="CB282" s="176">
        <f t="shared" si="363"/>
        <v>0</v>
      </c>
      <c r="CC282" s="168">
        <f t="shared" si="364"/>
        <v>0</v>
      </c>
      <c r="CD282" s="149">
        <f t="shared" si="365"/>
        <v>0</v>
      </c>
      <c r="CE282" s="149">
        <f t="shared" si="366"/>
        <v>0</v>
      </c>
      <c r="CF282" s="157">
        <f t="shared" si="367"/>
        <v>0</v>
      </c>
      <c r="CG282" s="160">
        <f t="shared" si="368"/>
        <v>0</v>
      </c>
      <c r="CH282" s="150">
        <f t="shared" si="369"/>
        <v>0</v>
      </c>
      <c r="CI282" s="150">
        <f t="shared" si="370"/>
        <v>0</v>
      </c>
      <c r="CJ282" s="176">
        <f t="shared" si="371"/>
        <v>0</v>
      </c>
      <c r="CK282" s="168">
        <f t="shared" si="372"/>
        <v>0</v>
      </c>
      <c r="CL282" s="149">
        <f t="shared" si="373"/>
        <v>0</v>
      </c>
      <c r="CM282" s="149">
        <f t="shared" si="374"/>
        <v>0</v>
      </c>
      <c r="CN282" s="157">
        <f t="shared" si="375"/>
        <v>0</v>
      </c>
      <c r="CO282" s="160">
        <f t="shared" si="376"/>
        <v>0</v>
      </c>
      <c r="CP282" s="150">
        <f t="shared" si="377"/>
        <v>0</v>
      </c>
      <c r="CQ282" s="150">
        <f t="shared" si="378"/>
        <v>0</v>
      </c>
      <c r="CR282" s="176">
        <f t="shared" si="379"/>
        <v>0</v>
      </c>
      <c r="CS282" s="168">
        <f t="shared" si="380"/>
        <v>0</v>
      </c>
      <c r="CT282" s="149">
        <f t="shared" si="381"/>
        <v>0</v>
      </c>
      <c r="CU282" s="149">
        <f t="shared" si="382"/>
        <v>0</v>
      </c>
      <c r="CV282" s="157">
        <f t="shared" si="383"/>
        <v>0</v>
      </c>
      <c r="CW282" s="160">
        <f t="shared" si="384"/>
        <v>0</v>
      </c>
      <c r="CX282" s="150">
        <f t="shared" si="385"/>
        <v>0</v>
      </c>
      <c r="CY282" s="150">
        <f t="shared" si="386"/>
        <v>0</v>
      </c>
      <c r="CZ282" s="176">
        <f t="shared" si="387"/>
        <v>0</v>
      </c>
      <c r="DA282" s="168">
        <f t="shared" si="388"/>
        <v>0</v>
      </c>
      <c r="DB282" s="149">
        <f t="shared" si="389"/>
        <v>0</v>
      </c>
      <c r="DC282" s="149">
        <f t="shared" si="390"/>
        <v>0</v>
      </c>
      <c r="DD282" s="157">
        <f t="shared" si="391"/>
        <v>0</v>
      </c>
    </row>
    <row r="283" spans="2:108" x14ac:dyDescent="0.2">
      <c r="B283" s="647" t="s">
        <v>290</v>
      </c>
      <c r="C283" s="556">
        <v>1</v>
      </c>
      <c r="D283" s="168">
        <f>'5-Year CIP'!L9+'5-Year CIP'!L14+'5-Year CIP'!L16</f>
        <v>148500</v>
      </c>
      <c r="E283" s="149">
        <v>0</v>
      </c>
      <c r="F283" s="149">
        <v>0</v>
      </c>
      <c r="G283" s="149">
        <v>0</v>
      </c>
      <c r="H283" s="168">
        <f t="shared" si="291"/>
        <v>146305.41871921183</v>
      </c>
      <c r="I283" s="610">
        <f t="shared" si="292"/>
        <v>146305.41871921183</v>
      </c>
      <c r="J283" s="610">
        <f t="shared" si="293"/>
        <v>0</v>
      </c>
      <c r="K283" s="610">
        <f t="shared" si="294"/>
        <v>0</v>
      </c>
      <c r="L283" s="610">
        <f t="shared" si="295"/>
        <v>0</v>
      </c>
      <c r="M283" s="610">
        <f t="shared" si="296"/>
        <v>0</v>
      </c>
      <c r="N283" s="610">
        <f t="shared" si="297"/>
        <v>0</v>
      </c>
      <c r="O283" s="610">
        <f t="shared" si="298"/>
        <v>0</v>
      </c>
      <c r="P283" s="610">
        <f t="shared" si="299"/>
        <v>0</v>
      </c>
      <c r="Q283" s="610">
        <f t="shared" si="300"/>
        <v>0</v>
      </c>
      <c r="R283" s="610">
        <f t="shared" si="301"/>
        <v>0</v>
      </c>
      <c r="S283" s="610">
        <f t="shared" si="302"/>
        <v>0</v>
      </c>
      <c r="T283" s="610">
        <f t="shared" si="303"/>
        <v>0</v>
      </c>
      <c r="U283" s="610">
        <f t="shared" si="304"/>
        <v>0</v>
      </c>
      <c r="V283" s="610">
        <f t="shared" si="305"/>
        <v>0</v>
      </c>
      <c r="W283" s="610">
        <f t="shared" si="306"/>
        <v>0</v>
      </c>
      <c r="X283" s="610">
        <f t="shared" si="307"/>
        <v>0</v>
      </c>
      <c r="Y283" s="610">
        <f t="shared" si="308"/>
        <v>0</v>
      </c>
      <c r="Z283" s="610">
        <f t="shared" si="309"/>
        <v>0</v>
      </c>
      <c r="AA283" s="610">
        <f t="shared" si="310"/>
        <v>0</v>
      </c>
      <c r="AB283" s="611">
        <f t="shared" si="311"/>
        <v>0</v>
      </c>
      <c r="AC283" s="160">
        <f t="shared" si="312"/>
        <v>148500</v>
      </c>
      <c r="AD283" s="150">
        <f t="shared" si="313"/>
        <v>0</v>
      </c>
      <c r="AE283" s="150">
        <f t="shared" si="314"/>
        <v>0</v>
      </c>
      <c r="AF283" s="165">
        <f t="shared" si="315"/>
        <v>0</v>
      </c>
      <c r="AG283" s="168">
        <f t="shared" si="316"/>
        <v>0</v>
      </c>
      <c r="AH283" s="149">
        <f t="shared" si="317"/>
        <v>0</v>
      </c>
      <c r="AI283" s="149">
        <f t="shared" si="318"/>
        <v>0</v>
      </c>
      <c r="AJ283" s="171">
        <f t="shared" si="319"/>
        <v>0</v>
      </c>
      <c r="AK283" s="160">
        <f t="shared" si="320"/>
        <v>0</v>
      </c>
      <c r="AL283" s="150">
        <f t="shared" si="321"/>
        <v>0</v>
      </c>
      <c r="AM283" s="150">
        <f t="shared" si="322"/>
        <v>0</v>
      </c>
      <c r="AN283" s="165">
        <f t="shared" si="323"/>
        <v>0</v>
      </c>
      <c r="AO283" s="168">
        <f t="shared" si="324"/>
        <v>0</v>
      </c>
      <c r="AP283" s="149">
        <f t="shared" si="325"/>
        <v>0</v>
      </c>
      <c r="AQ283" s="149">
        <f t="shared" si="326"/>
        <v>0</v>
      </c>
      <c r="AR283" s="157">
        <f t="shared" si="327"/>
        <v>0</v>
      </c>
      <c r="AS283" s="160">
        <f t="shared" si="328"/>
        <v>0</v>
      </c>
      <c r="AT283" s="150">
        <f t="shared" si="329"/>
        <v>0</v>
      </c>
      <c r="AU283" s="150">
        <f t="shared" si="330"/>
        <v>0</v>
      </c>
      <c r="AV283" s="165">
        <f t="shared" si="331"/>
        <v>0</v>
      </c>
      <c r="AW283" s="168">
        <f t="shared" si="332"/>
        <v>0</v>
      </c>
      <c r="AX283" s="149">
        <f t="shared" si="333"/>
        <v>0</v>
      </c>
      <c r="AY283" s="149">
        <f t="shared" si="334"/>
        <v>0</v>
      </c>
      <c r="AZ283" s="157">
        <f t="shared" si="335"/>
        <v>0</v>
      </c>
      <c r="BA283" s="160">
        <f t="shared" si="336"/>
        <v>0</v>
      </c>
      <c r="BB283" s="150">
        <f t="shared" si="337"/>
        <v>0</v>
      </c>
      <c r="BC283" s="150">
        <f t="shared" si="338"/>
        <v>0</v>
      </c>
      <c r="BD283" s="176">
        <f t="shared" si="339"/>
        <v>0</v>
      </c>
      <c r="BE283" s="168">
        <f t="shared" si="340"/>
        <v>0</v>
      </c>
      <c r="BF283" s="149">
        <f t="shared" si="341"/>
        <v>0</v>
      </c>
      <c r="BG283" s="149">
        <f t="shared" si="342"/>
        <v>0</v>
      </c>
      <c r="BH283" s="171">
        <f t="shared" si="343"/>
        <v>0</v>
      </c>
      <c r="BI283" s="160">
        <f t="shared" si="344"/>
        <v>0</v>
      </c>
      <c r="BJ283" s="150">
        <f t="shared" si="345"/>
        <v>0</v>
      </c>
      <c r="BK283" s="150">
        <f t="shared" si="346"/>
        <v>0</v>
      </c>
      <c r="BL283" s="176">
        <f t="shared" si="347"/>
        <v>0</v>
      </c>
      <c r="BM283" s="168">
        <f t="shared" si="348"/>
        <v>0</v>
      </c>
      <c r="BN283" s="149">
        <f t="shared" si="349"/>
        <v>0</v>
      </c>
      <c r="BO283" s="149">
        <f t="shared" si="350"/>
        <v>0</v>
      </c>
      <c r="BP283" s="157">
        <f t="shared" si="351"/>
        <v>0</v>
      </c>
      <c r="BQ283" s="160">
        <f t="shared" si="352"/>
        <v>0</v>
      </c>
      <c r="BR283" s="150">
        <f t="shared" si="353"/>
        <v>0</v>
      </c>
      <c r="BS283" s="150">
        <f t="shared" si="354"/>
        <v>0</v>
      </c>
      <c r="BT283" s="176">
        <f t="shared" si="355"/>
        <v>0</v>
      </c>
      <c r="BU283" s="168">
        <f t="shared" si="356"/>
        <v>0</v>
      </c>
      <c r="BV283" s="149">
        <f t="shared" si="357"/>
        <v>0</v>
      </c>
      <c r="BW283" s="149">
        <f t="shared" si="358"/>
        <v>0</v>
      </c>
      <c r="BX283" s="157">
        <f t="shared" si="359"/>
        <v>0</v>
      </c>
      <c r="BY283" s="160">
        <f t="shared" si="360"/>
        <v>0</v>
      </c>
      <c r="BZ283" s="150">
        <f t="shared" si="361"/>
        <v>0</v>
      </c>
      <c r="CA283" s="150">
        <f t="shared" si="362"/>
        <v>0</v>
      </c>
      <c r="CB283" s="176">
        <f t="shared" si="363"/>
        <v>0</v>
      </c>
      <c r="CC283" s="168">
        <f t="shared" si="364"/>
        <v>0</v>
      </c>
      <c r="CD283" s="149">
        <f t="shared" si="365"/>
        <v>0</v>
      </c>
      <c r="CE283" s="149">
        <f t="shared" si="366"/>
        <v>0</v>
      </c>
      <c r="CF283" s="157">
        <f t="shared" si="367"/>
        <v>0</v>
      </c>
      <c r="CG283" s="160">
        <f t="shared" si="368"/>
        <v>0</v>
      </c>
      <c r="CH283" s="150">
        <f t="shared" si="369"/>
        <v>0</v>
      </c>
      <c r="CI283" s="150">
        <f t="shared" si="370"/>
        <v>0</v>
      </c>
      <c r="CJ283" s="176">
        <f t="shared" si="371"/>
        <v>0</v>
      </c>
      <c r="CK283" s="168">
        <f t="shared" si="372"/>
        <v>0</v>
      </c>
      <c r="CL283" s="149">
        <f t="shared" si="373"/>
        <v>0</v>
      </c>
      <c r="CM283" s="149">
        <f t="shared" si="374"/>
        <v>0</v>
      </c>
      <c r="CN283" s="157">
        <f t="shared" si="375"/>
        <v>0</v>
      </c>
      <c r="CO283" s="160">
        <f t="shared" si="376"/>
        <v>0</v>
      </c>
      <c r="CP283" s="150">
        <f t="shared" si="377"/>
        <v>0</v>
      </c>
      <c r="CQ283" s="150">
        <f t="shared" si="378"/>
        <v>0</v>
      </c>
      <c r="CR283" s="176">
        <f t="shared" si="379"/>
        <v>0</v>
      </c>
      <c r="CS283" s="168">
        <f t="shared" si="380"/>
        <v>0</v>
      </c>
      <c r="CT283" s="149">
        <f t="shared" si="381"/>
        <v>0</v>
      </c>
      <c r="CU283" s="149">
        <f t="shared" si="382"/>
        <v>0</v>
      </c>
      <c r="CV283" s="157">
        <f t="shared" si="383"/>
        <v>0</v>
      </c>
      <c r="CW283" s="160">
        <f t="shared" si="384"/>
        <v>0</v>
      </c>
      <c r="CX283" s="150">
        <f t="shared" si="385"/>
        <v>0</v>
      </c>
      <c r="CY283" s="150">
        <f t="shared" si="386"/>
        <v>0</v>
      </c>
      <c r="CZ283" s="176">
        <f t="shared" si="387"/>
        <v>0</v>
      </c>
      <c r="DA283" s="168">
        <f t="shared" si="388"/>
        <v>0</v>
      </c>
      <c r="DB283" s="149">
        <f t="shared" si="389"/>
        <v>0</v>
      </c>
      <c r="DC283" s="149">
        <f t="shared" si="390"/>
        <v>0</v>
      </c>
      <c r="DD283" s="157">
        <f t="shared" si="391"/>
        <v>0</v>
      </c>
    </row>
    <row r="284" spans="2:108" x14ac:dyDescent="0.2">
      <c r="B284" s="647" t="s">
        <v>11</v>
      </c>
      <c r="C284" s="556">
        <v>0</v>
      </c>
      <c r="D284" s="168">
        <v>0</v>
      </c>
      <c r="E284" s="149">
        <v>0</v>
      </c>
      <c r="F284" s="149">
        <v>0</v>
      </c>
      <c r="G284" s="149">
        <v>0</v>
      </c>
      <c r="H284" s="168">
        <f t="shared" ref="H284:H289" si="392">SUM(I284:AB284)</f>
        <v>0</v>
      </c>
      <c r="I284" s="610">
        <f t="shared" ref="I284:I289" si="393">-PV(InterestRate,I$8,,(SUM(AC284:AF284)))</f>
        <v>0</v>
      </c>
      <c r="J284" s="610">
        <f t="shared" ref="J284:J289" si="394">-PV(InterestRate,J$8,,(SUM(AG284:AJ284)))</f>
        <v>0</v>
      </c>
      <c r="K284" s="610">
        <f t="shared" ref="K284:K289" si="395">-PV(InterestRate,K$8,,(SUM(AK284:AN284)))</f>
        <v>0</v>
      </c>
      <c r="L284" s="610">
        <f t="shared" ref="L284:L289" si="396">-PV(InterestRate,L$8,,(SUM(AO284:AR284)))</f>
        <v>0</v>
      </c>
      <c r="M284" s="610">
        <f t="shared" ref="M284:M289" si="397">-PV(InterestRate,M$8,,(SUM(AS284:AV284)))</f>
        <v>0</v>
      </c>
      <c r="N284" s="610">
        <f t="shared" ref="N284:N289" si="398">-PV(InterestRate,N$8,,(SUM(AW284:AZ284)))</f>
        <v>0</v>
      </c>
      <c r="O284" s="610">
        <f t="shared" ref="O284:O289" si="399">-PV(InterestRate,O$8,,(SUM(BA284:BD284)))</f>
        <v>0</v>
      </c>
      <c r="P284" s="610">
        <f t="shared" ref="P284:P289" si="400">-PV(InterestRate,P$8,,(SUM(BE284:BH284)))</f>
        <v>0</v>
      </c>
      <c r="Q284" s="610">
        <f t="shared" ref="Q284:Q289" si="401">-PV(InterestRate,Q$8,,(SUM(BI284:BL284)))</f>
        <v>0</v>
      </c>
      <c r="R284" s="610">
        <f t="shared" ref="R284:R289" si="402">-PV(InterestRate,R$8,,(SUM(BM284:BP284)))</f>
        <v>0</v>
      </c>
      <c r="S284" s="610">
        <f t="shared" ref="S284:S289" si="403">-PV(InterestRate,S$8,,(SUM(BQ284:BT284)))</f>
        <v>0</v>
      </c>
      <c r="T284" s="610">
        <f t="shared" ref="T284:T289" si="404">-PV(InterestRate,T$8,,(SUM(BU284:BX284)))</f>
        <v>0</v>
      </c>
      <c r="U284" s="610">
        <f t="shared" ref="U284:U289" si="405">-PV(InterestRate,U$8,,(SUM(BY284:CB284)))</f>
        <v>0</v>
      </c>
      <c r="V284" s="610">
        <f t="shared" ref="V284:V289" si="406">-PV(InterestRate,V$8,,(SUM(CC284:CF284)))</f>
        <v>0</v>
      </c>
      <c r="W284" s="610">
        <f t="shared" ref="W284:W289" si="407">-PV(InterestRate,W$8,,(SUM(CG284:CJ284)))</f>
        <v>0</v>
      </c>
      <c r="X284" s="610">
        <f t="shared" ref="X284:X289" si="408">-PV(InterestRate,X$8,,(SUM(CK284:CN284)))</f>
        <v>0</v>
      </c>
      <c r="Y284" s="610">
        <f t="shared" ref="Y284:Y289" si="409">-PV(InterestRate,Y$8,,(SUM(CO284:CR284)))</f>
        <v>0</v>
      </c>
      <c r="Z284" s="610">
        <f t="shared" ref="Z284:Z289" si="410">-PV(InterestRate,Z$8,,(SUM(CS284:CV284)))</f>
        <v>0</v>
      </c>
      <c r="AA284" s="610">
        <f t="shared" ref="AA284:AA289" si="411">-PV(InterestRate,AA$8,,(SUM(CW284:CZ284)))</f>
        <v>0</v>
      </c>
      <c r="AB284" s="611">
        <f t="shared" ref="AB284:AB289" si="412">-PV(InterestRate,AB$8,,(SUM(DA284:DD284)))</f>
        <v>0</v>
      </c>
      <c r="AC284" s="160">
        <f t="shared" si="312"/>
        <v>0</v>
      </c>
      <c r="AD284" s="150">
        <f t="shared" si="313"/>
        <v>0</v>
      </c>
      <c r="AE284" s="150">
        <f t="shared" si="314"/>
        <v>0</v>
      </c>
      <c r="AF284" s="165">
        <f t="shared" si="315"/>
        <v>0</v>
      </c>
      <c r="AG284" s="168">
        <f t="shared" si="316"/>
        <v>0</v>
      </c>
      <c r="AH284" s="149">
        <f t="shared" si="317"/>
        <v>0</v>
      </c>
      <c r="AI284" s="149">
        <f t="shared" si="318"/>
        <v>0</v>
      </c>
      <c r="AJ284" s="171">
        <f t="shared" si="319"/>
        <v>0</v>
      </c>
      <c r="AK284" s="160">
        <f t="shared" si="320"/>
        <v>0</v>
      </c>
      <c r="AL284" s="150">
        <f t="shared" si="321"/>
        <v>0</v>
      </c>
      <c r="AM284" s="150">
        <f t="shared" si="322"/>
        <v>0</v>
      </c>
      <c r="AN284" s="165">
        <f t="shared" si="323"/>
        <v>0</v>
      </c>
      <c r="AO284" s="168">
        <f t="shared" si="324"/>
        <v>0</v>
      </c>
      <c r="AP284" s="149">
        <f t="shared" si="325"/>
        <v>0</v>
      </c>
      <c r="AQ284" s="149">
        <f t="shared" si="326"/>
        <v>0</v>
      </c>
      <c r="AR284" s="157">
        <f t="shared" si="327"/>
        <v>0</v>
      </c>
      <c r="AS284" s="160">
        <f t="shared" si="328"/>
        <v>0</v>
      </c>
      <c r="AT284" s="150">
        <f t="shared" si="329"/>
        <v>0</v>
      </c>
      <c r="AU284" s="150">
        <f t="shared" si="330"/>
        <v>0</v>
      </c>
      <c r="AV284" s="165">
        <f t="shared" si="331"/>
        <v>0</v>
      </c>
      <c r="AW284" s="168">
        <f t="shared" si="332"/>
        <v>0</v>
      </c>
      <c r="AX284" s="149">
        <f t="shared" si="333"/>
        <v>0</v>
      </c>
      <c r="AY284" s="149">
        <f t="shared" si="334"/>
        <v>0</v>
      </c>
      <c r="AZ284" s="157">
        <f t="shared" si="335"/>
        <v>0</v>
      </c>
      <c r="BA284" s="160">
        <f t="shared" si="336"/>
        <v>0</v>
      </c>
      <c r="BB284" s="150">
        <f t="shared" si="337"/>
        <v>0</v>
      </c>
      <c r="BC284" s="150">
        <f t="shared" si="338"/>
        <v>0</v>
      </c>
      <c r="BD284" s="176">
        <f t="shared" si="339"/>
        <v>0</v>
      </c>
      <c r="BE284" s="168">
        <f t="shared" si="340"/>
        <v>0</v>
      </c>
      <c r="BF284" s="149">
        <f t="shared" si="341"/>
        <v>0</v>
      </c>
      <c r="BG284" s="149">
        <f t="shared" si="342"/>
        <v>0</v>
      </c>
      <c r="BH284" s="171">
        <f t="shared" si="343"/>
        <v>0</v>
      </c>
      <c r="BI284" s="160">
        <f t="shared" si="344"/>
        <v>0</v>
      </c>
      <c r="BJ284" s="150">
        <f t="shared" si="345"/>
        <v>0</v>
      </c>
      <c r="BK284" s="150">
        <f t="shared" si="346"/>
        <v>0</v>
      </c>
      <c r="BL284" s="176">
        <f t="shared" si="347"/>
        <v>0</v>
      </c>
      <c r="BM284" s="168">
        <f t="shared" si="348"/>
        <v>0</v>
      </c>
      <c r="BN284" s="149">
        <f t="shared" si="349"/>
        <v>0</v>
      </c>
      <c r="BO284" s="149">
        <f t="shared" si="350"/>
        <v>0</v>
      </c>
      <c r="BP284" s="157">
        <f t="shared" si="351"/>
        <v>0</v>
      </c>
      <c r="BQ284" s="160">
        <f t="shared" si="352"/>
        <v>0</v>
      </c>
      <c r="BR284" s="150">
        <f t="shared" si="353"/>
        <v>0</v>
      </c>
      <c r="BS284" s="150">
        <f t="shared" si="354"/>
        <v>0</v>
      </c>
      <c r="BT284" s="176">
        <f t="shared" si="355"/>
        <v>0</v>
      </c>
      <c r="BU284" s="168">
        <f t="shared" si="356"/>
        <v>0</v>
      </c>
      <c r="BV284" s="149">
        <f t="shared" si="357"/>
        <v>0</v>
      </c>
      <c r="BW284" s="149">
        <f t="shared" si="358"/>
        <v>0</v>
      </c>
      <c r="BX284" s="157">
        <f t="shared" si="359"/>
        <v>0</v>
      </c>
      <c r="BY284" s="160">
        <f t="shared" si="360"/>
        <v>0</v>
      </c>
      <c r="BZ284" s="150">
        <f t="shared" si="361"/>
        <v>0</v>
      </c>
      <c r="CA284" s="150">
        <f t="shared" si="362"/>
        <v>0</v>
      </c>
      <c r="CB284" s="176">
        <f t="shared" si="363"/>
        <v>0</v>
      </c>
      <c r="CC284" s="168">
        <f t="shared" si="364"/>
        <v>0</v>
      </c>
      <c r="CD284" s="149">
        <f t="shared" si="365"/>
        <v>0</v>
      </c>
      <c r="CE284" s="149">
        <f t="shared" si="366"/>
        <v>0</v>
      </c>
      <c r="CF284" s="157">
        <f t="shared" si="367"/>
        <v>0</v>
      </c>
      <c r="CG284" s="160">
        <f t="shared" si="368"/>
        <v>0</v>
      </c>
      <c r="CH284" s="150">
        <f t="shared" si="369"/>
        <v>0</v>
      </c>
      <c r="CI284" s="150">
        <f t="shared" si="370"/>
        <v>0</v>
      </c>
      <c r="CJ284" s="176">
        <f t="shared" si="371"/>
        <v>0</v>
      </c>
      <c r="CK284" s="168">
        <f t="shared" si="372"/>
        <v>0</v>
      </c>
      <c r="CL284" s="149">
        <f t="shared" si="373"/>
        <v>0</v>
      </c>
      <c r="CM284" s="149">
        <f t="shared" si="374"/>
        <v>0</v>
      </c>
      <c r="CN284" s="157">
        <f t="shared" si="375"/>
        <v>0</v>
      </c>
      <c r="CO284" s="160">
        <f t="shared" si="376"/>
        <v>0</v>
      </c>
      <c r="CP284" s="150">
        <f t="shared" si="377"/>
        <v>0</v>
      </c>
      <c r="CQ284" s="150">
        <f t="shared" si="378"/>
        <v>0</v>
      </c>
      <c r="CR284" s="176">
        <f t="shared" si="379"/>
        <v>0</v>
      </c>
      <c r="CS284" s="168">
        <f t="shared" si="380"/>
        <v>0</v>
      </c>
      <c r="CT284" s="149">
        <f t="shared" si="381"/>
        <v>0</v>
      </c>
      <c r="CU284" s="149">
        <f t="shared" si="382"/>
        <v>0</v>
      </c>
      <c r="CV284" s="157">
        <f t="shared" si="383"/>
        <v>0</v>
      </c>
      <c r="CW284" s="160">
        <f t="shared" si="384"/>
        <v>0</v>
      </c>
      <c r="CX284" s="150">
        <f t="shared" si="385"/>
        <v>0</v>
      </c>
      <c r="CY284" s="150">
        <f t="shared" si="386"/>
        <v>0</v>
      </c>
      <c r="CZ284" s="176">
        <f t="shared" si="387"/>
        <v>0</v>
      </c>
      <c r="DA284" s="168">
        <f t="shared" si="388"/>
        <v>0</v>
      </c>
      <c r="DB284" s="149">
        <f t="shared" si="389"/>
        <v>0</v>
      </c>
      <c r="DC284" s="149">
        <f t="shared" si="390"/>
        <v>0</v>
      </c>
      <c r="DD284" s="157">
        <f t="shared" si="391"/>
        <v>0</v>
      </c>
    </row>
    <row r="285" spans="2:108" x14ac:dyDescent="0.2">
      <c r="B285" s="647" t="s">
        <v>11</v>
      </c>
      <c r="C285" s="556">
        <v>0</v>
      </c>
      <c r="D285" s="168">
        <v>0</v>
      </c>
      <c r="E285" s="149">
        <v>0</v>
      </c>
      <c r="F285" s="149">
        <v>0</v>
      </c>
      <c r="G285" s="149">
        <v>0</v>
      </c>
      <c r="H285" s="168">
        <f t="shared" si="392"/>
        <v>0</v>
      </c>
      <c r="I285" s="610">
        <f t="shared" si="393"/>
        <v>0</v>
      </c>
      <c r="J285" s="610">
        <f t="shared" si="394"/>
        <v>0</v>
      </c>
      <c r="K285" s="610">
        <f t="shared" si="395"/>
        <v>0</v>
      </c>
      <c r="L285" s="610">
        <f t="shared" si="396"/>
        <v>0</v>
      </c>
      <c r="M285" s="610">
        <f t="shared" si="397"/>
        <v>0</v>
      </c>
      <c r="N285" s="610">
        <f t="shared" si="398"/>
        <v>0</v>
      </c>
      <c r="O285" s="610">
        <f t="shared" si="399"/>
        <v>0</v>
      </c>
      <c r="P285" s="610">
        <f t="shared" si="400"/>
        <v>0</v>
      </c>
      <c r="Q285" s="610">
        <f t="shared" si="401"/>
        <v>0</v>
      </c>
      <c r="R285" s="610">
        <f t="shared" si="402"/>
        <v>0</v>
      </c>
      <c r="S285" s="610">
        <f t="shared" si="403"/>
        <v>0</v>
      </c>
      <c r="T285" s="610">
        <f t="shared" si="404"/>
        <v>0</v>
      </c>
      <c r="U285" s="610">
        <f t="shared" si="405"/>
        <v>0</v>
      </c>
      <c r="V285" s="610">
        <f t="shared" si="406"/>
        <v>0</v>
      </c>
      <c r="W285" s="610">
        <f t="shared" si="407"/>
        <v>0</v>
      </c>
      <c r="X285" s="610">
        <f t="shared" si="408"/>
        <v>0</v>
      </c>
      <c r="Y285" s="610">
        <f t="shared" si="409"/>
        <v>0</v>
      </c>
      <c r="Z285" s="610">
        <f t="shared" si="410"/>
        <v>0</v>
      </c>
      <c r="AA285" s="610">
        <f t="shared" si="411"/>
        <v>0</v>
      </c>
      <c r="AB285" s="611">
        <f t="shared" si="412"/>
        <v>0</v>
      </c>
      <c r="AC285" s="160">
        <f t="shared" si="312"/>
        <v>0</v>
      </c>
      <c r="AD285" s="150">
        <f t="shared" si="313"/>
        <v>0</v>
      </c>
      <c r="AE285" s="150">
        <f t="shared" si="314"/>
        <v>0</v>
      </c>
      <c r="AF285" s="165">
        <f t="shared" si="315"/>
        <v>0</v>
      </c>
      <c r="AG285" s="168">
        <f t="shared" si="316"/>
        <v>0</v>
      </c>
      <c r="AH285" s="149">
        <f t="shared" si="317"/>
        <v>0</v>
      </c>
      <c r="AI285" s="149">
        <f t="shared" si="318"/>
        <v>0</v>
      </c>
      <c r="AJ285" s="171">
        <f t="shared" si="319"/>
        <v>0</v>
      </c>
      <c r="AK285" s="160">
        <f t="shared" si="320"/>
        <v>0</v>
      </c>
      <c r="AL285" s="150">
        <f t="shared" si="321"/>
        <v>0</v>
      </c>
      <c r="AM285" s="150">
        <f t="shared" si="322"/>
        <v>0</v>
      </c>
      <c r="AN285" s="165">
        <f t="shared" si="323"/>
        <v>0</v>
      </c>
      <c r="AO285" s="168">
        <f t="shared" si="324"/>
        <v>0</v>
      </c>
      <c r="AP285" s="149">
        <f t="shared" si="325"/>
        <v>0</v>
      </c>
      <c r="AQ285" s="149">
        <f t="shared" si="326"/>
        <v>0</v>
      </c>
      <c r="AR285" s="157">
        <f t="shared" si="327"/>
        <v>0</v>
      </c>
      <c r="AS285" s="160">
        <f t="shared" si="328"/>
        <v>0</v>
      </c>
      <c r="AT285" s="150">
        <f t="shared" si="329"/>
        <v>0</v>
      </c>
      <c r="AU285" s="150">
        <f t="shared" si="330"/>
        <v>0</v>
      </c>
      <c r="AV285" s="165">
        <f t="shared" si="331"/>
        <v>0</v>
      </c>
      <c r="AW285" s="168">
        <f t="shared" si="332"/>
        <v>0</v>
      </c>
      <c r="AX285" s="149">
        <f t="shared" si="333"/>
        <v>0</v>
      </c>
      <c r="AY285" s="149">
        <f t="shared" si="334"/>
        <v>0</v>
      </c>
      <c r="AZ285" s="157">
        <f t="shared" si="335"/>
        <v>0</v>
      </c>
      <c r="BA285" s="160">
        <f t="shared" si="336"/>
        <v>0</v>
      </c>
      <c r="BB285" s="150">
        <f t="shared" si="337"/>
        <v>0</v>
      </c>
      <c r="BC285" s="150">
        <f t="shared" si="338"/>
        <v>0</v>
      </c>
      <c r="BD285" s="176">
        <f t="shared" si="339"/>
        <v>0</v>
      </c>
      <c r="BE285" s="168">
        <f t="shared" si="340"/>
        <v>0</v>
      </c>
      <c r="BF285" s="149">
        <f t="shared" si="341"/>
        <v>0</v>
      </c>
      <c r="BG285" s="149">
        <f t="shared" si="342"/>
        <v>0</v>
      </c>
      <c r="BH285" s="171">
        <f t="shared" si="343"/>
        <v>0</v>
      </c>
      <c r="BI285" s="160">
        <f t="shared" si="344"/>
        <v>0</v>
      </c>
      <c r="BJ285" s="150">
        <f t="shared" si="345"/>
        <v>0</v>
      </c>
      <c r="BK285" s="150">
        <f t="shared" si="346"/>
        <v>0</v>
      </c>
      <c r="BL285" s="176">
        <f t="shared" si="347"/>
        <v>0</v>
      </c>
      <c r="BM285" s="168">
        <f t="shared" si="348"/>
        <v>0</v>
      </c>
      <c r="BN285" s="149">
        <f t="shared" si="349"/>
        <v>0</v>
      </c>
      <c r="BO285" s="149">
        <f t="shared" si="350"/>
        <v>0</v>
      </c>
      <c r="BP285" s="157">
        <f t="shared" si="351"/>
        <v>0</v>
      </c>
      <c r="BQ285" s="160">
        <f t="shared" si="352"/>
        <v>0</v>
      </c>
      <c r="BR285" s="150">
        <f t="shared" si="353"/>
        <v>0</v>
      </c>
      <c r="BS285" s="150">
        <f t="shared" si="354"/>
        <v>0</v>
      </c>
      <c r="BT285" s="176">
        <f t="shared" si="355"/>
        <v>0</v>
      </c>
      <c r="BU285" s="168">
        <f t="shared" si="356"/>
        <v>0</v>
      </c>
      <c r="BV285" s="149">
        <f t="shared" si="357"/>
        <v>0</v>
      </c>
      <c r="BW285" s="149">
        <f t="shared" si="358"/>
        <v>0</v>
      </c>
      <c r="BX285" s="157">
        <f t="shared" si="359"/>
        <v>0</v>
      </c>
      <c r="BY285" s="160">
        <f t="shared" si="360"/>
        <v>0</v>
      </c>
      <c r="BZ285" s="150">
        <f t="shared" si="361"/>
        <v>0</v>
      </c>
      <c r="CA285" s="150">
        <f t="shared" si="362"/>
        <v>0</v>
      </c>
      <c r="CB285" s="176">
        <f t="shared" si="363"/>
        <v>0</v>
      </c>
      <c r="CC285" s="168">
        <f t="shared" si="364"/>
        <v>0</v>
      </c>
      <c r="CD285" s="149">
        <f t="shared" si="365"/>
        <v>0</v>
      </c>
      <c r="CE285" s="149">
        <f t="shared" si="366"/>
        <v>0</v>
      </c>
      <c r="CF285" s="157">
        <f t="shared" si="367"/>
        <v>0</v>
      </c>
      <c r="CG285" s="160">
        <f t="shared" si="368"/>
        <v>0</v>
      </c>
      <c r="CH285" s="150">
        <f t="shared" si="369"/>
        <v>0</v>
      </c>
      <c r="CI285" s="150">
        <f t="shared" si="370"/>
        <v>0</v>
      </c>
      <c r="CJ285" s="176">
        <f t="shared" si="371"/>
        <v>0</v>
      </c>
      <c r="CK285" s="168">
        <f t="shared" si="372"/>
        <v>0</v>
      </c>
      <c r="CL285" s="149">
        <f t="shared" si="373"/>
        <v>0</v>
      </c>
      <c r="CM285" s="149">
        <f t="shared" si="374"/>
        <v>0</v>
      </c>
      <c r="CN285" s="157">
        <f t="shared" si="375"/>
        <v>0</v>
      </c>
      <c r="CO285" s="160">
        <f t="shared" si="376"/>
        <v>0</v>
      </c>
      <c r="CP285" s="150">
        <f t="shared" si="377"/>
        <v>0</v>
      </c>
      <c r="CQ285" s="150">
        <f t="shared" si="378"/>
        <v>0</v>
      </c>
      <c r="CR285" s="176">
        <f t="shared" si="379"/>
        <v>0</v>
      </c>
      <c r="CS285" s="168">
        <f t="shared" si="380"/>
        <v>0</v>
      </c>
      <c r="CT285" s="149">
        <f t="shared" si="381"/>
        <v>0</v>
      </c>
      <c r="CU285" s="149">
        <f t="shared" si="382"/>
        <v>0</v>
      </c>
      <c r="CV285" s="157">
        <f t="shared" si="383"/>
        <v>0</v>
      </c>
      <c r="CW285" s="160">
        <f t="shared" si="384"/>
        <v>0</v>
      </c>
      <c r="CX285" s="150">
        <f t="shared" si="385"/>
        <v>0</v>
      </c>
      <c r="CY285" s="150">
        <f t="shared" si="386"/>
        <v>0</v>
      </c>
      <c r="CZ285" s="176">
        <f t="shared" si="387"/>
        <v>0</v>
      </c>
      <c r="DA285" s="168">
        <f t="shared" si="388"/>
        <v>0</v>
      </c>
      <c r="DB285" s="149">
        <f t="shared" si="389"/>
        <v>0</v>
      </c>
      <c r="DC285" s="149">
        <f t="shared" si="390"/>
        <v>0</v>
      </c>
      <c r="DD285" s="157">
        <f t="shared" si="391"/>
        <v>0</v>
      </c>
    </row>
    <row r="286" spans="2:108" x14ac:dyDescent="0.2">
      <c r="B286" s="647" t="s">
        <v>11</v>
      </c>
      <c r="C286" s="556">
        <v>0</v>
      </c>
      <c r="D286" s="168">
        <v>0</v>
      </c>
      <c r="E286" s="149">
        <v>0</v>
      </c>
      <c r="F286" s="149">
        <v>0</v>
      </c>
      <c r="G286" s="149">
        <v>0</v>
      </c>
      <c r="H286" s="168">
        <f t="shared" si="392"/>
        <v>0</v>
      </c>
      <c r="I286" s="610">
        <f t="shared" si="393"/>
        <v>0</v>
      </c>
      <c r="J286" s="610">
        <f t="shared" si="394"/>
        <v>0</v>
      </c>
      <c r="K286" s="610">
        <f t="shared" si="395"/>
        <v>0</v>
      </c>
      <c r="L286" s="610">
        <f t="shared" si="396"/>
        <v>0</v>
      </c>
      <c r="M286" s="610">
        <f t="shared" si="397"/>
        <v>0</v>
      </c>
      <c r="N286" s="610">
        <f t="shared" si="398"/>
        <v>0</v>
      </c>
      <c r="O286" s="610">
        <f t="shared" si="399"/>
        <v>0</v>
      </c>
      <c r="P286" s="610">
        <f t="shared" si="400"/>
        <v>0</v>
      </c>
      <c r="Q286" s="610">
        <f t="shared" si="401"/>
        <v>0</v>
      </c>
      <c r="R286" s="610">
        <f t="shared" si="402"/>
        <v>0</v>
      </c>
      <c r="S286" s="610">
        <f t="shared" si="403"/>
        <v>0</v>
      </c>
      <c r="T286" s="610">
        <f t="shared" si="404"/>
        <v>0</v>
      </c>
      <c r="U286" s="610">
        <f t="shared" si="405"/>
        <v>0</v>
      </c>
      <c r="V286" s="610">
        <f t="shared" si="406"/>
        <v>0</v>
      </c>
      <c r="W286" s="610">
        <f t="shared" si="407"/>
        <v>0</v>
      </c>
      <c r="X286" s="610">
        <f t="shared" si="408"/>
        <v>0</v>
      </c>
      <c r="Y286" s="610">
        <f t="shared" si="409"/>
        <v>0</v>
      </c>
      <c r="Z286" s="610">
        <f t="shared" si="410"/>
        <v>0</v>
      </c>
      <c r="AA286" s="610">
        <f t="shared" si="411"/>
        <v>0</v>
      </c>
      <c r="AB286" s="611">
        <f t="shared" si="412"/>
        <v>0</v>
      </c>
      <c r="AC286" s="160">
        <f t="shared" si="312"/>
        <v>0</v>
      </c>
      <c r="AD286" s="150">
        <f t="shared" si="313"/>
        <v>0</v>
      </c>
      <c r="AE286" s="150">
        <f t="shared" si="314"/>
        <v>0</v>
      </c>
      <c r="AF286" s="165">
        <f t="shared" si="315"/>
        <v>0</v>
      </c>
      <c r="AG286" s="168">
        <f t="shared" si="316"/>
        <v>0</v>
      </c>
      <c r="AH286" s="149">
        <f t="shared" si="317"/>
        <v>0</v>
      </c>
      <c r="AI286" s="149">
        <f t="shared" si="318"/>
        <v>0</v>
      </c>
      <c r="AJ286" s="171">
        <f t="shared" si="319"/>
        <v>0</v>
      </c>
      <c r="AK286" s="160">
        <f t="shared" si="320"/>
        <v>0</v>
      </c>
      <c r="AL286" s="150">
        <f t="shared" si="321"/>
        <v>0</v>
      </c>
      <c r="AM286" s="150">
        <f t="shared" si="322"/>
        <v>0</v>
      </c>
      <c r="AN286" s="165">
        <f t="shared" si="323"/>
        <v>0</v>
      </c>
      <c r="AO286" s="168">
        <f t="shared" si="324"/>
        <v>0</v>
      </c>
      <c r="AP286" s="149">
        <f t="shared" si="325"/>
        <v>0</v>
      </c>
      <c r="AQ286" s="149">
        <f t="shared" si="326"/>
        <v>0</v>
      </c>
      <c r="AR286" s="157">
        <f t="shared" si="327"/>
        <v>0</v>
      </c>
      <c r="AS286" s="160">
        <f t="shared" si="328"/>
        <v>0</v>
      </c>
      <c r="AT286" s="150">
        <f t="shared" si="329"/>
        <v>0</v>
      </c>
      <c r="AU286" s="150">
        <f t="shared" si="330"/>
        <v>0</v>
      </c>
      <c r="AV286" s="165">
        <f t="shared" si="331"/>
        <v>0</v>
      </c>
      <c r="AW286" s="168">
        <f t="shared" si="332"/>
        <v>0</v>
      </c>
      <c r="AX286" s="149">
        <f t="shared" si="333"/>
        <v>0</v>
      </c>
      <c r="AY286" s="149">
        <f t="shared" si="334"/>
        <v>0</v>
      </c>
      <c r="AZ286" s="157">
        <f t="shared" si="335"/>
        <v>0</v>
      </c>
      <c r="BA286" s="160">
        <f t="shared" si="336"/>
        <v>0</v>
      </c>
      <c r="BB286" s="150">
        <f t="shared" si="337"/>
        <v>0</v>
      </c>
      <c r="BC286" s="150">
        <f t="shared" si="338"/>
        <v>0</v>
      </c>
      <c r="BD286" s="176">
        <f t="shared" si="339"/>
        <v>0</v>
      </c>
      <c r="BE286" s="168">
        <f t="shared" si="340"/>
        <v>0</v>
      </c>
      <c r="BF286" s="149">
        <f t="shared" si="341"/>
        <v>0</v>
      </c>
      <c r="BG286" s="149">
        <f t="shared" si="342"/>
        <v>0</v>
      </c>
      <c r="BH286" s="171">
        <f t="shared" si="343"/>
        <v>0</v>
      </c>
      <c r="BI286" s="160">
        <f t="shared" si="344"/>
        <v>0</v>
      </c>
      <c r="BJ286" s="150">
        <f t="shared" si="345"/>
        <v>0</v>
      </c>
      <c r="BK286" s="150">
        <f t="shared" si="346"/>
        <v>0</v>
      </c>
      <c r="BL286" s="176">
        <f t="shared" si="347"/>
        <v>0</v>
      </c>
      <c r="BM286" s="168">
        <f t="shared" si="348"/>
        <v>0</v>
      </c>
      <c r="BN286" s="149">
        <f t="shared" si="349"/>
        <v>0</v>
      </c>
      <c r="BO286" s="149">
        <f t="shared" si="350"/>
        <v>0</v>
      </c>
      <c r="BP286" s="157">
        <f t="shared" si="351"/>
        <v>0</v>
      </c>
      <c r="BQ286" s="160">
        <f t="shared" si="352"/>
        <v>0</v>
      </c>
      <c r="BR286" s="150">
        <f t="shared" si="353"/>
        <v>0</v>
      </c>
      <c r="BS286" s="150">
        <f t="shared" si="354"/>
        <v>0</v>
      </c>
      <c r="BT286" s="176">
        <f t="shared" si="355"/>
        <v>0</v>
      </c>
      <c r="BU286" s="168">
        <f t="shared" si="356"/>
        <v>0</v>
      </c>
      <c r="BV286" s="149">
        <f t="shared" si="357"/>
        <v>0</v>
      </c>
      <c r="BW286" s="149">
        <f t="shared" si="358"/>
        <v>0</v>
      </c>
      <c r="BX286" s="157">
        <f t="shared" si="359"/>
        <v>0</v>
      </c>
      <c r="BY286" s="160">
        <f t="shared" si="360"/>
        <v>0</v>
      </c>
      <c r="BZ286" s="150">
        <f t="shared" si="361"/>
        <v>0</v>
      </c>
      <c r="CA286" s="150">
        <f t="shared" si="362"/>
        <v>0</v>
      </c>
      <c r="CB286" s="176">
        <f t="shared" si="363"/>
        <v>0</v>
      </c>
      <c r="CC286" s="168">
        <f t="shared" si="364"/>
        <v>0</v>
      </c>
      <c r="CD286" s="149">
        <f t="shared" si="365"/>
        <v>0</v>
      </c>
      <c r="CE286" s="149">
        <f t="shared" si="366"/>
        <v>0</v>
      </c>
      <c r="CF286" s="157">
        <f t="shared" si="367"/>
        <v>0</v>
      </c>
      <c r="CG286" s="160">
        <f t="shared" si="368"/>
        <v>0</v>
      </c>
      <c r="CH286" s="150">
        <f t="shared" si="369"/>
        <v>0</v>
      </c>
      <c r="CI286" s="150">
        <f t="shared" si="370"/>
        <v>0</v>
      </c>
      <c r="CJ286" s="176">
        <f t="shared" si="371"/>
        <v>0</v>
      </c>
      <c r="CK286" s="168">
        <f t="shared" si="372"/>
        <v>0</v>
      </c>
      <c r="CL286" s="149">
        <f t="shared" si="373"/>
        <v>0</v>
      </c>
      <c r="CM286" s="149">
        <f t="shared" si="374"/>
        <v>0</v>
      </c>
      <c r="CN286" s="157">
        <f t="shared" si="375"/>
        <v>0</v>
      </c>
      <c r="CO286" s="160">
        <f t="shared" si="376"/>
        <v>0</v>
      </c>
      <c r="CP286" s="150">
        <f t="shared" si="377"/>
        <v>0</v>
      </c>
      <c r="CQ286" s="150">
        <f t="shared" si="378"/>
        <v>0</v>
      </c>
      <c r="CR286" s="176">
        <f t="shared" si="379"/>
        <v>0</v>
      </c>
      <c r="CS286" s="168">
        <f t="shared" si="380"/>
        <v>0</v>
      </c>
      <c r="CT286" s="149">
        <f t="shared" si="381"/>
        <v>0</v>
      </c>
      <c r="CU286" s="149">
        <f t="shared" si="382"/>
        <v>0</v>
      </c>
      <c r="CV286" s="157">
        <f t="shared" si="383"/>
        <v>0</v>
      </c>
      <c r="CW286" s="160">
        <f t="shared" si="384"/>
        <v>0</v>
      </c>
      <c r="CX286" s="150">
        <f t="shared" si="385"/>
        <v>0</v>
      </c>
      <c r="CY286" s="150">
        <f t="shared" si="386"/>
        <v>0</v>
      </c>
      <c r="CZ286" s="176">
        <f t="shared" si="387"/>
        <v>0</v>
      </c>
      <c r="DA286" s="168">
        <f t="shared" si="388"/>
        <v>0</v>
      </c>
      <c r="DB286" s="149">
        <f t="shared" si="389"/>
        <v>0</v>
      </c>
      <c r="DC286" s="149">
        <f t="shared" si="390"/>
        <v>0</v>
      </c>
      <c r="DD286" s="157">
        <f t="shared" si="391"/>
        <v>0</v>
      </c>
    </row>
    <row r="287" spans="2:108" x14ac:dyDescent="0.2">
      <c r="B287" s="647" t="s">
        <v>11</v>
      </c>
      <c r="C287" s="556">
        <v>0</v>
      </c>
      <c r="D287" s="168">
        <v>0</v>
      </c>
      <c r="E287" s="149">
        <v>0</v>
      </c>
      <c r="F287" s="149">
        <v>0</v>
      </c>
      <c r="G287" s="149">
        <v>0</v>
      </c>
      <c r="H287" s="168">
        <f t="shared" si="392"/>
        <v>0</v>
      </c>
      <c r="I287" s="610">
        <f t="shared" si="393"/>
        <v>0</v>
      </c>
      <c r="J287" s="610">
        <f t="shared" si="394"/>
        <v>0</v>
      </c>
      <c r="K287" s="610">
        <f t="shared" si="395"/>
        <v>0</v>
      </c>
      <c r="L287" s="610">
        <f t="shared" si="396"/>
        <v>0</v>
      </c>
      <c r="M287" s="610">
        <f t="shared" si="397"/>
        <v>0</v>
      </c>
      <c r="N287" s="610">
        <f t="shared" si="398"/>
        <v>0</v>
      </c>
      <c r="O287" s="610">
        <f t="shared" si="399"/>
        <v>0</v>
      </c>
      <c r="P287" s="610">
        <f t="shared" si="400"/>
        <v>0</v>
      </c>
      <c r="Q287" s="610">
        <f t="shared" si="401"/>
        <v>0</v>
      </c>
      <c r="R287" s="610">
        <f t="shared" si="402"/>
        <v>0</v>
      </c>
      <c r="S287" s="610">
        <f t="shared" si="403"/>
        <v>0</v>
      </c>
      <c r="T287" s="610">
        <f t="shared" si="404"/>
        <v>0</v>
      </c>
      <c r="U287" s="610">
        <f t="shared" si="405"/>
        <v>0</v>
      </c>
      <c r="V287" s="610">
        <f t="shared" si="406"/>
        <v>0</v>
      </c>
      <c r="W287" s="610">
        <f t="shared" si="407"/>
        <v>0</v>
      </c>
      <c r="X287" s="610">
        <f t="shared" si="408"/>
        <v>0</v>
      </c>
      <c r="Y287" s="610">
        <f t="shared" si="409"/>
        <v>0</v>
      </c>
      <c r="Z287" s="610">
        <f t="shared" si="410"/>
        <v>0</v>
      </c>
      <c r="AA287" s="610">
        <f t="shared" si="411"/>
        <v>0</v>
      </c>
      <c r="AB287" s="611">
        <f t="shared" si="412"/>
        <v>0</v>
      </c>
      <c r="AC287" s="160">
        <f t="shared" si="312"/>
        <v>0</v>
      </c>
      <c r="AD287" s="150">
        <f t="shared" si="313"/>
        <v>0</v>
      </c>
      <c r="AE287" s="150">
        <f t="shared" si="314"/>
        <v>0</v>
      </c>
      <c r="AF287" s="165">
        <f t="shared" si="315"/>
        <v>0</v>
      </c>
      <c r="AG287" s="168">
        <f t="shared" si="316"/>
        <v>0</v>
      </c>
      <c r="AH287" s="149">
        <f t="shared" si="317"/>
        <v>0</v>
      </c>
      <c r="AI287" s="149">
        <f t="shared" si="318"/>
        <v>0</v>
      </c>
      <c r="AJ287" s="171">
        <f t="shared" si="319"/>
        <v>0</v>
      </c>
      <c r="AK287" s="160">
        <f t="shared" si="320"/>
        <v>0</v>
      </c>
      <c r="AL287" s="150">
        <f t="shared" si="321"/>
        <v>0</v>
      </c>
      <c r="AM287" s="150">
        <f t="shared" si="322"/>
        <v>0</v>
      </c>
      <c r="AN287" s="165">
        <f t="shared" si="323"/>
        <v>0</v>
      </c>
      <c r="AO287" s="168">
        <f t="shared" si="324"/>
        <v>0</v>
      </c>
      <c r="AP287" s="149">
        <f t="shared" si="325"/>
        <v>0</v>
      </c>
      <c r="AQ287" s="149">
        <f t="shared" si="326"/>
        <v>0</v>
      </c>
      <c r="AR287" s="157">
        <f t="shared" si="327"/>
        <v>0</v>
      </c>
      <c r="AS287" s="160">
        <f t="shared" si="328"/>
        <v>0</v>
      </c>
      <c r="AT287" s="150">
        <f t="shared" si="329"/>
        <v>0</v>
      </c>
      <c r="AU287" s="150">
        <f t="shared" si="330"/>
        <v>0</v>
      </c>
      <c r="AV287" s="165">
        <f t="shared" si="331"/>
        <v>0</v>
      </c>
      <c r="AW287" s="168">
        <f t="shared" si="332"/>
        <v>0</v>
      </c>
      <c r="AX287" s="149">
        <f t="shared" si="333"/>
        <v>0</v>
      </c>
      <c r="AY287" s="149">
        <f t="shared" si="334"/>
        <v>0</v>
      </c>
      <c r="AZ287" s="157">
        <f t="shared" si="335"/>
        <v>0</v>
      </c>
      <c r="BA287" s="160">
        <f t="shared" si="336"/>
        <v>0</v>
      </c>
      <c r="BB287" s="150">
        <f t="shared" si="337"/>
        <v>0</v>
      </c>
      <c r="BC287" s="150">
        <f t="shared" si="338"/>
        <v>0</v>
      </c>
      <c r="BD287" s="176">
        <f t="shared" si="339"/>
        <v>0</v>
      </c>
      <c r="BE287" s="168">
        <f t="shared" si="340"/>
        <v>0</v>
      </c>
      <c r="BF287" s="149">
        <f t="shared" si="341"/>
        <v>0</v>
      </c>
      <c r="BG287" s="149">
        <f t="shared" si="342"/>
        <v>0</v>
      </c>
      <c r="BH287" s="171">
        <f t="shared" si="343"/>
        <v>0</v>
      </c>
      <c r="BI287" s="160">
        <f t="shared" si="344"/>
        <v>0</v>
      </c>
      <c r="BJ287" s="150">
        <f t="shared" si="345"/>
        <v>0</v>
      </c>
      <c r="BK287" s="150">
        <f t="shared" si="346"/>
        <v>0</v>
      </c>
      <c r="BL287" s="176">
        <f t="shared" si="347"/>
        <v>0</v>
      </c>
      <c r="BM287" s="168">
        <f t="shared" si="348"/>
        <v>0</v>
      </c>
      <c r="BN287" s="149">
        <f t="shared" si="349"/>
        <v>0</v>
      </c>
      <c r="BO287" s="149">
        <f t="shared" si="350"/>
        <v>0</v>
      </c>
      <c r="BP287" s="157">
        <f t="shared" si="351"/>
        <v>0</v>
      </c>
      <c r="BQ287" s="160">
        <f t="shared" si="352"/>
        <v>0</v>
      </c>
      <c r="BR287" s="150">
        <f t="shared" si="353"/>
        <v>0</v>
      </c>
      <c r="BS287" s="150">
        <f t="shared" si="354"/>
        <v>0</v>
      </c>
      <c r="BT287" s="176">
        <f t="shared" si="355"/>
        <v>0</v>
      </c>
      <c r="BU287" s="168">
        <f t="shared" si="356"/>
        <v>0</v>
      </c>
      <c r="BV287" s="149">
        <f t="shared" si="357"/>
        <v>0</v>
      </c>
      <c r="BW287" s="149">
        <f t="shared" si="358"/>
        <v>0</v>
      </c>
      <c r="BX287" s="157">
        <f t="shared" si="359"/>
        <v>0</v>
      </c>
      <c r="BY287" s="160">
        <f t="shared" si="360"/>
        <v>0</v>
      </c>
      <c r="BZ287" s="150">
        <f t="shared" si="361"/>
        <v>0</v>
      </c>
      <c r="CA287" s="150">
        <f t="shared" si="362"/>
        <v>0</v>
      </c>
      <c r="CB287" s="176">
        <f t="shared" si="363"/>
        <v>0</v>
      </c>
      <c r="CC287" s="168">
        <f t="shared" si="364"/>
        <v>0</v>
      </c>
      <c r="CD287" s="149">
        <f t="shared" si="365"/>
        <v>0</v>
      </c>
      <c r="CE287" s="149">
        <f t="shared" si="366"/>
        <v>0</v>
      </c>
      <c r="CF287" s="157">
        <f t="shared" si="367"/>
        <v>0</v>
      </c>
      <c r="CG287" s="160">
        <f t="shared" si="368"/>
        <v>0</v>
      </c>
      <c r="CH287" s="150">
        <f t="shared" si="369"/>
        <v>0</v>
      </c>
      <c r="CI287" s="150">
        <f t="shared" si="370"/>
        <v>0</v>
      </c>
      <c r="CJ287" s="176">
        <f t="shared" si="371"/>
        <v>0</v>
      </c>
      <c r="CK287" s="168">
        <f t="shared" si="372"/>
        <v>0</v>
      </c>
      <c r="CL287" s="149">
        <f t="shared" si="373"/>
        <v>0</v>
      </c>
      <c r="CM287" s="149">
        <f t="shared" si="374"/>
        <v>0</v>
      </c>
      <c r="CN287" s="157">
        <f t="shared" si="375"/>
        <v>0</v>
      </c>
      <c r="CO287" s="160">
        <f t="shared" si="376"/>
        <v>0</v>
      </c>
      <c r="CP287" s="150">
        <f t="shared" si="377"/>
        <v>0</v>
      </c>
      <c r="CQ287" s="150">
        <f t="shared" si="378"/>
        <v>0</v>
      </c>
      <c r="CR287" s="176">
        <f t="shared" si="379"/>
        <v>0</v>
      </c>
      <c r="CS287" s="168">
        <f t="shared" si="380"/>
        <v>0</v>
      </c>
      <c r="CT287" s="149">
        <f t="shared" si="381"/>
        <v>0</v>
      </c>
      <c r="CU287" s="149">
        <f t="shared" si="382"/>
        <v>0</v>
      </c>
      <c r="CV287" s="157">
        <f t="shared" si="383"/>
        <v>0</v>
      </c>
      <c r="CW287" s="160">
        <f t="shared" si="384"/>
        <v>0</v>
      </c>
      <c r="CX287" s="150">
        <f t="shared" si="385"/>
        <v>0</v>
      </c>
      <c r="CY287" s="150">
        <f t="shared" si="386"/>
        <v>0</v>
      </c>
      <c r="CZ287" s="176">
        <f t="shared" si="387"/>
        <v>0</v>
      </c>
      <c r="DA287" s="168">
        <f t="shared" si="388"/>
        <v>0</v>
      </c>
      <c r="DB287" s="149">
        <f t="shared" si="389"/>
        <v>0</v>
      </c>
      <c r="DC287" s="149">
        <f t="shared" si="390"/>
        <v>0</v>
      </c>
      <c r="DD287" s="157">
        <f t="shared" si="391"/>
        <v>0</v>
      </c>
    </row>
    <row r="288" spans="2:108" x14ac:dyDescent="0.2">
      <c r="B288" s="647" t="s">
        <v>11</v>
      </c>
      <c r="C288" s="556">
        <v>0</v>
      </c>
      <c r="D288" s="168">
        <v>0</v>
      </c>
      <c r="E288" s="149">
        <v>0</v>
      </c>
      <c r="F288" s="149">
        <v>0</v>
      </c>
      <c r="G288" s="149">
        <v>0</v>
      </c>
      <c r="H288" s="168">
        <f t="shared" si="392"/>
        <v>0</v>
      </c>
      <c r="I288" s="610">
        <f t="shared" si="393"/>
        <v>0</v>
      </c>
      <c r="J288" s="610">
        <f t="shared" si="394"/>
        <v>0</v>
      </c>
      <c r="K288" s="610">
        <f t="shared" si="395"/>
        <v>0</v>
      </c>
      <c r="L288" s="610">
        <f t="shared" si="396"/>
        <v>0</v>
      </c>
      <c r="M288" s="610">
        <f t="shared" si="397"/>
        <v>0</v>
      </c>
      <c r="N288" s="610">
        <f t="shared" si="398"/>
        <v>0</v>
      </c>
      <c r="O288" s="610">
        <f t="shared" si="399"/>
        <v>0</v>
      </c>
      <c r="P288" s="610">
        <f t="shared" si="400"/>
        <v>0</v>
      </c>
      <c r="Q288" s="610">
        <f t="shared" si="401"/>
        <v>0</v>
      </c>
      <c r="R288" s="610">
        <f t="shared" si="402"/>
        <v>0</v>
      </c>
      <c r="S288" s="610">
        <f t="shared" si="403"/>
        <v>0</v>
      </c>
      <c r="T288" s="610">
        <f t="shared" si="404"/>
        <v>0</v>
      </c>
      <c r="U288" s="610">
        <f t="shared" si="405"/>
        <v>0</v>
      </c>
      <c r="V288" s="610">
        <f t="shared" si="406"/>
        <v>0</v>
      </c>
      <c r="W288" s="610">
        <f t="shared" si="407"/>
        <v>0</v>
      </c>
      <c r="X288" s="610">
        <f t="shared" si="408"/>
        <v>0</v>
      </c>
      <c r="Y288" s="610">
        <f t="shared" si="409"/>
        <v>0</v>
      </c>
      <c r="Z288" s="610">
        <f t="shared" si="410"/>
        <v>0</v>
      </c>
      <c r="AA288" s="610">
        <f t="shared" si="411"/>
        <v>0</v>
      </c>
      <c r="AB288" s="611">
        <f t="shared" si="412"/>
        <v>0</v>
      </c>
      <c r="AC288" s="160">
        <f t="shared" si="312"/>
        <v>0</v>
      </c>
      <c r="AD288" s="150">
        <f t="shared" si="313"/>
        <v>0</v>
      </c>
      <c r="AE288" s="150">
        <f t="shared" si="314"/>
        <v>0</v>
      </c>
      <c r="AF288" s="165">
        <f t="shared" si="315"/>
        <v>0</v>
      </c>
      <c r="AG288" s="168">
        <f t="shared" si="316"/>
        <v>0</v>
      </c>
      <c r="AH288" s="149">
        <f t="shared" si="317"/>
        <v>0</v>
      </c>
      <c r="AI288" s="149">
        <f t="shared" si="318"/>
        <v>0</v>
      </c>
      <c r="AJ288" s="171">
        <f t="shared" si="319"/>
        <v>0</v>
      </c>
      <c r="AK288" s="160">
        <f t="shared" si="320"/>
        <v>0</v>
      </c>
      <c r="AL288" s="150">
        <f t="shared" si="321"/>
        <v>0</v>
      </c>
      <c r="AM288" s="150">
        <f t="shared" si="322"/>
        <v>0</v>
      </c>
      <c r="AN288" s="165">
        <f t="shared" si="323"/>
        <v>0</v>
      </c>
      <c r="AO288" s="168">
        <f t="shared" si="324"/>
        <v>0</v>
      </c>
      <c r="AP288" s="149">
        <f t="shared" si="325"/>
        <v>0</v>
      </c>
      <c r="AQ288" s="149">
        <f t="shared" si="326"/>
        <v>0</v>
      </c>
      <c r="AR288" s="157">
        <f t="shared" si="327"/>
        <v>0</v>
      </c>
      <c r="AS288" s="160">
        <f t="shared" si="328"/>
        <v>0</v>
      </c>
      <c r="AT288" s="150">
        <f t="shared" si="329"/>
        <v>0</v>
      </c>
      <c r="AU288" s="150">
        <f t="shared" si="330"/>
        <v>0</v>
      </c>
      <c r="AV288" s="165">
        <f t="shared" si="331"/>
        <v>0</v>
      </c>
      <c r="AW288" s="168">
        <f t="shared" si="332"/>
        <v>0</v>
      </c>
      <c r="AX288" s="149">
        <f t="shared" si="333"/>
        <v>0</v>
      </c>
      <c r="AY288" s="149">
        <f t="shared" si="334"/>
        <v>0</v>
      </c>
      <c r="AZ288" s="157">
        <f t="shared" si="335"/>
        <v>0</v>
      </c>
      <c r="BA288" s="160">
        <f t="shared" si="336"/>
        <v>0</v>
      </c>
      <c r="BB288" s="150">
        <f t="shared" si="337"/>
        <v>0</v>
      </c>
      <c r="BC288" s="150">
        <f t="shared" si="338"/>
        <v>0</v>
      </c>
      <c r="BD288" s="176">
        <f t="shared" si="339"/>
        <v>0</v>
      </c>
      <c r="BE288" s="168">
        <f t="shared" si="340"/>
        <v>0</v>
      </c>
      <c r="BF288" s="149">
        <f t="shared" si="341"/>
        <v>0</v>
      </c>
      <c r="BG288" s="149">
        <f t="shared" si="342"/>
        <v>0</v>
      </c>
      <c r="BH288" s="171">
        <f t="shared" si="343"/>
        <v>0</v>
      </c>
      <c r="BI288" s="160">
        <f t="shared" si="344"/>
        <v>0</v>
      </c>
      <c r="BJ288" s="150">
        <f t="shared" si="345"/>
        <v>0</v>
      </c>
      <c r="BK288" s="150">
        <f t="shared" si="346"/>
        <v>0</v>
      </c>
      <c r="BL288" s="176">
        <f t="shared" si="347"/>
        <v>0</v>
      </c>
      <c r="BM288" s="168">
        <f t="shared" si="348"/>
        <v>0</v>
      </c>
      <c r="BN288" s="149">
        <f t="shared" si="349"/>
        <v>0</v>
      </c>
      <c r="BO288" s="149">
        <f t="shared" si="350"/>
        <v>0</v>
      </c>
      <c r="BP288" s="157">
        <f t="shared" si="351"/>
        <v>0</v>
      </c>
      <c r="BQ288" s="160">
        <f t="shared" si="352"/>
        <v>0</v>
      </c>
      <c r="BR288" s="150">
        <f t="shared" si="353"/>
        <v>0</v>
      </c>
      <c r="BS288" s="150">
        <f t="shared" si="354"/>
        <v>0</v>
      </c>
      <c r="BT288" s="176">
        <f t="shared" si="355"/>
        <v>0</v>
      </c>
      <c r="BU288" s="168">
        <f t="shared" si="356"/>
        <v>0</v>
      </c>
      <c r="BV288" s="149">
        <f t="shared" si="357"/>
        <v>0</v>
      </c>
      <c r="BW288" s="149">
        <f t="shared" si="358"/>
        <v>0</v>
      </c>
      <c r="BX288" s="157">
        <f t="shared" si="359"/>
        <v>0</v>
      </c>
      <c r="BY288" s="160">
        <f t="shared" si="360"/>
        <v>0</v>
      </c>
      <c r="BZ288" s="150">
        <f t="shared" si="361"/>
        <v>0</v>
      </c>
      <c r="CA288" s="150">
        <f t="shared" si="362"/>
        <v>0</v>
      </c>
      <c r="CB288" s="176">
        <f t="shared" si="363"/>
        <v>0</v>
      </c>
      <c r="CC288" s="168">
        <f t="shared" si="364"/>
        <v>0</v>
      </c>
      <c r="CD288" s="149">
        <f t="shared" si="365"/>
        <v>0</v>
      </c>
      <c r="CE288" s="149">
        <f t="shared" si="366"/>
        <v>0</v>
      </c>
      <c r="CF288" s="157">
        <f t="shared" si="367"/>
        <v>0</v>
      </c>
      <c r="CG288" s="160">
        <f t="shared" si="368"/>
        <v>0</v>
      </c>
      <c r="CH288" s="150">
        <f t="shared" si="369"/>
        <v>0</v>
      </c>
      <c r="CI288" s="150">
        <f t="shared" si="370"/>
        <v>0</v>
      </c>
      <c r="CJ288" s="176">
        <f t="shared" si="371"/>
        <v>0</v>
      </c>
      <c r="CK288" s="168">
        <f t="shared" si="372"/>
        <v>0</v>
      </c>
      <c r="CL288" s="149">
        <f t="shared" si="373"/>
        <v>0</v>
      </c>
      <c r="CM288" s="149">
        <f t="shared" si="374"/>
        <v>0</v>
      </c>
      <c r="CN288" s="157">
        <f t="shared" si="375"/>
        <v>0</v>
      </c>
      <c r="CO288" s="160">
        <f t="shared" si="376"/>
        <v>0</v>
      </c>
      <c r="CP288" s="150">
        <f t="shared" si="377"/>
        <v>0</v>
      </c>
      <c r="CQ288" s="150">
        <f t="shared" si="378"/>
        <v>0</v>
      </c>
      <c r="CR288" s="176">
        <f t="shared" si="379"/>
        <v>0</v>
      </c>
      <c r="CS288" s="168">
        <f t="shared" si="380"/>
        <v>0</v>
      </c>
      <c r="CT288" s="149">
        <f t="shared" si="381"/>
        <v>0</v>
      </c>
      <c r="CU288" s="149">
        <f t="shared" si="382"/>
        <v>0</v>
      </c>
      <c r="CV288" s="157">
        <f t="shared" si="383"/>
        <v>0</v>
      </c>
      <c r="CW288" s="160">
        <f t="shared" si="384"/>
        <v>0</v>
      </c>
      <c r="CX288" s="150">
        <f t="shared" si="385"/>
        <v>0</v>
      </c>
      <c r="CY288" s="150">
        <f t="shared" si="386"/>
        <v>0</v>
      </c>
      <c r="CZ288" s="176">
        <f t="shared" si="387"/>
        <v>0</v>
      </c>
      <c r="DA288" s="168">
        <f t="shared" si="388"/>
        <v>0</v>
      </c>
      <c r="DB288" s="149">
        <f t="shared" si="389"/>
        <v>0</v>
      </c>
      <c r="DC288" s="149">
        <f t="shared" si="390"/>
        <v>0</v>
      </c>
      <c r="DD288" s="157">
        <f t="shared" si="391"/>
        <v>0</v>
      </c>
    </row>
    <row r="289" spans="2:108" x14ac:dyDescent="0.2">
      <c r="B289" s="647" t="s">
        <v>11</v>
      </c>
      <c r="C289" s="556">
        <v>0</v>
      </c>
      <c r="D289" s="168">
        <v>0</v>
      </c>
      <c r="E289" s="149">
        <v>0</v>
      </c>
      <c r="F289" s="149">
        <v>0</v>
      </c>
      <c r="G289" s="149">
        <v>0</v>
      </c>
      <c r="H289" s="168">
        <f t="shared" si="392"/>
        <v>0</v>
      </c>
      <c r="I289" s="610">
        <f t="shared" si="393"/>
        <v>0</v>
      </c>
      <c r="J289" s="610">
        <f t="shared" si="394"/>
        <v>0</v>
      </c>
      <c r="K289" s="610">
        <f t="shared" si="395"/>
        <v>0</v>
      </c>
      <c r="L289" s="610">
        <f t="shared" si="396"/>
        <v>0</v>
      </c>
      <c r="M289" s="610">
        <f t="shared" si="397"/>
        <v>0</v>
      </c>
      <c r="N289" s="610">
        <f t="shared" si="398"/>
        <v>0</v>
      </c>
      <c r="O289" s="610">
        <f t="shared" si="399"/>
        <v>0</v>
      </c>
      <c r="P289" s="610">
        <f t="shared" si="400"/>
        <v>0</v>
      </c>
      <c r="Q289" s="610">
        <f t="shared" si="401"/>
        <v>0</v>
      </c>
      <c r="R289" s="610">
        <f t="shared" si="402"/>
        <v>0</v>
      </c>
      <c r="S289" s="610">
        <f t="shared" si="403"/>
        <v>0</v>
      </c>
      <c r="T289" s="610">
        <f t="shared" si="404"/>
        <v>0</v>
      </c>
      <c r="U289" s="610">
        <f t="shared" si="405"/>
        <v>0</v>
      </c>
      <c r="V289" s="610">
        <f t="shared" si="406"/>
        <v>0</v>
      </c>
      <c r="W289" s="610">
        <f t="shared" si="407"/>
        <v>0</v>
      </c>
      <c r="X289" s="610">
        <f t="shared" si="408"/>
        <v>0</v>
      </c>
      <c r="Y289" s="610">
        <f t="shared" si="409"/>
        <v>0</v>
      </c>
      <c r="Z289" s="610">
        <f t="shared" si="410"/>
        <v>0</v>
      </c>
      <c r="AA289" s="610">
        <f t="shared" si="411"/>
        <v>0</v>
      </c>
      <c r="AB289" s="611">
        <f t="shared" si="412"/>
        <v>0</v>
      </c>
      <c r="AC289" s="174">
        <f t="shared" si="312"/>
        <v>0</v>
      </c>
      <c r="AD289" s="150">
        <f t="shared" si="313"/>
        <v>0</v>
      </c>
      <c r="AE289" s="150">
        <f t="shared" si="314"/>
        <v>0</v>
      </c>
      <c r="AF289" s="165">
        <f t="shared" si="315"/>
        <v>0</v>
      </c>
      <c r="AG289" s="168">
        <f t="shared" si="316"/>
        <v>0</v>
      </c>
      <c r="AH289" s="149">
        <f t="shared" si="317"/>
        <v>0</v>
      </c>
      <c r="AI289" s="149">
        <f t="shared" si="318"/>
        <v>0</v>
      </c>
      <c r="AJ289" s="171">
        <f t="shared" si="319"/>
        <v>0</v>
      </c>
      <c r="AK289" s="160">
        <f t="shared" si="320"/>
        <v>0</v>
      </c>
      <c r="AL289" s="150">
        <f t="shared" si="321"/>
        <v>0</v>
      </c>
      <c r="AM289" s="150">
        <f t="shared" si="322"/>
        <v>0</v>
      </c>
      <c r="AN289" s="165">
        <f t="shared" si="323"/>
        <v>0</v>
      </c>
      <c r="AO289" s="168">
        <f t="shared" si="324"/>
        <v>0</v>
      </c>
      <c r="AP289" s="149">
        <f t="shared" si="325"/>
        <v>0</v>
      </c>
      <c r="AQ289" s="149">
        <f t="shared" si="326"/>
        <v>0</v>
      </c>
      <c r="AR289" s="157">
        <f t="shared" si="327"/>
        <v>0</v>
      </c>
      <c r="AS289" s="160">
        <f t="shared" si="328"/>
        <v>0</v>
      </c>
      <c r="AT289" s="150">
        <f t="shared" si="329"/>
        <v>0</v>
      </c>
      <c r="AU289" s="150">
        <f t="shared" si="330"/>
        <v>0</v>
      </c>
      <c r="AV289" s="165">
        <f t="shared" si="331"/>
        <v>0</v>
      </c>
      <c r="AW289" s="168">
        <f t="shared" si="332"/>
        <v>0</v>
      </c>
      <c r="AX289" s="149">
        <f t="shared" si="333"/>
        <v>0</v>
      </c>
      <c r="AY289" s="149">
        <f t="shared" si="334"/>
        <v>0</v>
      </c>
      <c r="AZ289" s="157">
        <f t="shared" si="335"/>
        <v>0</v>
      </c>
      <c r="BA289" s="160">
        <f t="shared" si="336"/>
        <v>0</v>
      </c>
      <c r="BB289" s="150">
        <f t="shared" si="337"/>
        <v>0</v>
      </c>
      <c r="BC289" s="150">
        <f t="shared" si="338"/>
        <v>0</v>
      </c>
      <c r="BD289" s="176">
        <f t="shared" si="339"/>
        <v>0</v>
      </c>
      <c r="BE289" s="168">
        <f t="shared" si="340"/>
        <v>0</v>
      </c>
      <c r="BF289" s="149">
        <f t="shared" si="341"/>
        <v>0</v>
      </c>
      <c r="BG289" s="149">
        <f t="shared" si="342"/>
        <v>0</v>
      </c>
      <c r="BH289" s="171">
        <f t="shared" si="343"/>
        <v>0</v>
      </c>
      <c r="BI289" s="160">
        <f t="shared" si="344"/>
        <v>0</v>
      </c>
      <c r="BJ289" s="150">
        <f t="shared" si="345"/>
        <v>0</v>
      </c>
      <c r="BK289" s="150">
        <f t="shared" si="346"/>
        <v>0</v>
      </c>
      <c r="BL289" s="176">
        <f t="shared" si="347"/>
        <v>0</v>
      </c>
      <c r="BM289" s="168">
        <f t="shared" si="348"/>
        <v>0</v>
      </c>
      <c r="BN289" s="149">
        <f t="shared" si="349"/>
        <v>0</v>
      </c>
      <c r="BO289" s="149">
        <f t="shared" si="350"/>
        <v>0</v>
      </c>
      <c r="BP289" s="157">
        <f t="shared" si="351"/>
        <v>0</v>
      </c>
      <c r="BQ289" s="160">
        <f t="shared" si="352"/>
        <v>0</v>
      </c>
      <c r="BR289" s="150">
        <f t="shared" si="353"/>
        <v>0</v>
      </c>
      <c r="BS289" s="150">
        <f t="shared" si="354"/>
        <v>0</v>
      </c>
      <c r="BT289" s="176">
        <f t="shared" si="355"/>
        <v>0</v>
      </c>
      <c r="BU289" s="168">
        <f t="shared" si="356"/>
        <v>0</v>
      </c>
      <c r="BV289" s="149">
        <f t="shared" si="357"/>
        <v>0</v>
      </c>
      <c r="BW289" s="149">
        <f t="shared" si="358"/>
        <v>0</v>
      </c>
      <c r="BX289" s="157">
        <f t="shared" si="359"/>
        <v>0</v>
      </c>
      <c r="BY289" s="160">
        <f t="shared" si="360"/>
        <v>0</v>
      </c>
      <c r="BZ289" s="150">
        <f t="shared" si="361"/>
        <v>0</v>
      </c>
      <c r="CA289" s="150">
        <f t="shared" si="362"/>
        <v>0</v>
      </c>
      <c r="CB289" s="176">
        <f t="shared" si="363"/>
        <v>0</v>
      </c>
      <c r="CC289" s="168">
        <f t="shared" si="364"/>
        <v>0</v>
      </c>
      <c r="CD289" s="149">
        <f t="shared" si="365"/>
        <v>0</v>
      </c>
      <c r="CE289" s="149">
        <f t="shared" si="366"/>
        <v>0</v>
      </c>
      <c r="CF289" s="157">
        <f t="shared" si="367"/>
        <v>0</v>
      </c>
      <c r="CG289" s="160">
        <f t="shared" si="368"/>
        <v>0</v>
      </c>
      <c r="CH289" s="150">
        <f t="shared" si="369"/>
        <v>0</v>
      </c>
      <c r="CI289" s="150">
        <f t="shared" si="370"/>
        <v>0</v>
      </c>
      <c r="CJ289" s="176">
        <f t="shared" si="371"/>
        <v>0</v>
      </c>
      <c r="CK289" s="168">
        <f t="shared" si="372"/>
        <v>0</v>
      </c>
      <c r="CL289" s="149">
        <f t="shared" si="373"/>
        <v>0</v>
      </c>
      <c r="CM289" s="149">
        <f t="shared" si="374"/>
        <v>0</v>
      </c>
      <c r="CN289" s="157">
        <f t="shared" si="375"/>
        <v>0</v>
      </c>
      <c r="CO289" s="160">
        <f t="shared" si="376"/>
        <v>0</v>
      </c>
      <c r="CP289" s="150">
        <f t="shared" si="377"/>
        <v>0</v>
      </c>
      <c r="CQ289" s="150">
        <f t="shared" si="378"/>
        <v>0</v>
      </c>
      <c r="CR289" s="176">
        <f t="shared" si="379"/>
        <v>0</v>
      </c>
      <c r="CS289" s="168">
        <f t="shared" si="380"/>
        <v>0</v>
      </c>
      <c r="CT289" s="149">
        <f t="shared" si="381"/>
        <v>0</v>
      </c>
      <c r="CU289" s="149">
        <f t="shared" si="382"/>
        <v>0</v>
      </c>
      <c r="CV289" s="157">
        <f t="shared" si="383"/>
        <v>0</v>
      </c>
      <c r="CW289" s="160">
        <f t="shared" si="384"/>
        <v>0</v>
      </c>
      <c r="CX289" s="150">
        <f t="shared" si="385"/>
        <v>0</v>
      </c>
      <c r="CY289" s="150">
        <f t="shared" si="386"/>
        <v>0</v>
      </c>
      <c r="CZ289" s="176">
        <f t="shared" si="387"/>
        <v>0</v>
      </c>
      <c r="DA289" s="168">
        <f t="shared" si="388"/>
        <v>0</v>
      </c>
      <c r="DB289" s="149">
        <f t="shared" si="389"/>
        <v>0</v>
      </c>
      <c r="DC289" s="149">
        <f t="shared" si="390"/>
        <v>0</v>
      </c>
      <c r="DD289" s="157">
        <f t="shared" si="391"/>
        <v>0</v>
      </c>
    </row>
    <row r="290" spans="2:108" x14ac:dyDescent="0.2">
      <c r="B290" s="183"/>
      <c r="C290" s="190" t="s">
        <v>372</v>
      </c>
      <c r="D290" s="223">
        <f>SUM(D236:D289)</f>
        <v>10647400</v>
      </c>
      <c r="E290" s="224">
        <f>SUM(E236:E289)</f>
        <v>0</v>
      </c>
      <c r="F290" s="224">
        <f>SUM(F236:F289)</f>
        <v>0</v>
      </c>
      <c r="G290" s="224">
        <f>SUM(G236:G289)</f>
        <v>0</v>
      </c>
      <c r="H290" s="168"/>
      <c r="I290" s="610"/>
      <c r="J290" s="610"/>
      <c r="K290" s="610"/>
      <c r="L290" s="610"/>
      <c r="M290" s="610"/>
      <c r="N290" s="610"/>
      <c r="O290" s="610"/>
      <c r="P290" s="610"/>
      <c r="Q290" s="610"/>
      <c r="R290" s="610"/>
      <c r="S290" s="610"/>
      <c r="T290" s="610"/>
      <c r="U290" s="610"/>
      <c r="V290" s="610"/>
      <c r="W290" s="610"/>
      <c r="X290" s="610"/>
      <c r="Y290" s="610"/>
      <c r="Z290" s="610"/>
      <c r="AA290" s="610"/>
      <c r="AB290" s="611"/>
      <c r="AC290" s="231">
        <f>SUBTOTAL(9,AC236:AC289)</f>
        <v>679900</v>
      </c>
      <c r="AD290" s="232">
        <f t="shared" ref="AD290:AG290" si="413">SUBTOTAL(9,AD236:AD289)</f>
        <v>0</v>
      </c>
      <c r="AE290" s="232">
        <f t="shared" si="413"/>
        <v>0</v>
      </c>
      <c r="AF290" s="233">
        <f t="shared" si="413"/>
        <v>0</v>
      </c>
      <c r="AG290" s="223">
        <f t="shared" si="413"/>
        <v>608426.15</v>
      </c>
      <c r="AH290" s="224">
        <f t="shared" ref="AH290" si="414">SUBTOTAL(9,AH236:AH289)</f>
        <v>0</v>
      </c>
      <c r="AI290" s="224">
        <f t="shared" ref="AI290" si="415">SUBTOTAL(9,AI236:AI289)</f>
        <v>0</v>
      </c>
      <c r="AJ290" s="226">
        <f t="shared" ref="AJ290:AK290" si="416">SUBTOTAL(9,AJ236:AJ289)</f>
        <v>0</v>
      </c>
      <c r="AK290" s="231">
        <f t="shared" si="416"/>
        <v>884016.14300000004</v>
      </c>
      <c r="AL290" s="232">
        <f t="shared" ref="AL290" si="417">SUBTOTAL(9,AL236:AL289)</f>
        <v>0</v>
      </c>
      <c r="AM290" s="232">
        <f t="shared" ref="AM290" si="418">SUBTOTAL(9,AM236:AM289)</f>
        <v>0</v>
      </c>
      <c r="AN290" s="233">
        <f t="shared" ref="AN290:AO290" si="419">SUBTOTAL(9,AN236:AN289)</f>
        <v>0</v>
      </c>
      <c r="AO290" s="223">
        <f t="shared" si="419"/>
        <v>773449.654232</v>
      </c>
      <c r="AP290" s="224">
        <f t="shared" ref="AP290" si="420">SUBTOTAL(9,AP236:AP289)</f>
        <v>0</v>
      </c>
      <c r="AQ290" s="224">
        <f t="shared" ref="AQ290" si="421">SUBTOTAL(9,AQ236:AQ289)</f>
        <v>0</v>
      </c>
      <c r="AR290" s="226">
        <f t="shared" ref="AR290:AS290" si="422">SUBTOTAL(9,AR236:AR289)</f>
        <v>0</v>
      </c>
      <c r="AS290" s="231">
        <f t="shared" si="422"/>
        <v>577086.63418653992</v>
      </c>
      <c r="AT290" s="232">
        <f t="shared" ref="AT290" si="423">SUBTOTAL(9,AT236:AT289)</f>
        <v>0</v>
      </c>
      <c r="AU290" s="232">
        <f t="shared" ref="AU290" si="424">SUBTOTAL(9,AU236:AU289)</f>
        <v>0</v>
      </c>
      <c r="AV290" s="233">
        <f t="shared" ref="AV290:AW290" si="425">SUBTOTAL(9,AV236:AV289)</f>
        <v>0</v>
      </c>
      <c r="AW290" s="223">
        <f t="shared" si="425"/>
        <v>477620.91861159995</v>
      </c>
      <c r="AX290" s="224">
        <f t="shared" ref="AX290" si="426">SUBTOTAL(9,AX236:AX289)</f>
        <v>0</v>
      </c>
      <c r="AY290" s="224">
        <f t="shared" ref="AY290" si="427">SUBTOTAL(9,AY236:AY289)</f>
        <v>0</v>
      </c>
      <c r="AZ290" s="226">
        <f t="shared" ref="AZ290:BA290" si="428">SUBTOTAL(9,AZ236:AZ289)</f>
        <v>0</v>
      </c>
      <c r="BA290" s="231">
        <f t="shared" si="428"/>
        <v>614936.93271243502</v>
      </c>
      <c r="BB290" s="232">
        <f t="shared" ref="BB290" si="429">SUBTOTAL(9,BB236:BB289)</f>
        <v>0</v>
      </c>
      <c r="BC290" s="232">
        <f t="shared" ref="BC290" si="430">SUBTOTAL(9,BC236:BC289)</f>
        <v>0</v>
      </c>
      <c r="BD290" s="233">
        <f t="shared" ref="BD290:BE290" si="431">SUBTOTAL(9,BD236:BD289)</f>
        <v>0</v>
      </c>
      <c r="BE290" s="223">
        <f t="shared" si="431"/>
        <v>633385.04069380788</v>
      </c>
      <c r="BF290" s="224">
        <f t="shared" ref="BF290" si="432">SUBTOTAL(9,BF236:BF289)</f>
        <v>0</v>
      </c>
      <c r="BG290" s="224">
        <f t="shared" ref="BG290" si="433">SUBTOTAL(9,BG236:BG289)</f>
        <v>0</v>
      </c>
      <c r="BH290" s="226">
        <f t="shared" ref="BH290:BI290" si="434">SUBTOTAL(9,BH236:BH289)</f>
        <v>0</v>
      </c>
      <c r="BI290" s="231">
        <f t="shared" si="434"/>
        <v>652386.59191462223</v>
      </c>
      <c r="BJ290" s="232">
        <f t="shared" ref="BJ290" si="435">SUBTOTAL(9,BJ236:BJ289)</f>
        <v>0</v>
      </c>
      <c r="BK290" s="232">
        <f t="shared" ref="BK290" si="436">SUBTOTAL(9,BK236:BK289)</f>
        <v>0</v>
      </c>
      <c r="BL290" s="233">
        <f t="shared" ref="BL290:BM290" si="437">SUBTOTAL(9,BL236:BL289)</f>
        <v>0</v>
      </c>
      <c r="BM290" s="223">
        <f t="shared" si="437"/>
        <v>671958.18967206089</v>
      </c>
      <c r="BN290" s="224">
        <f t="shared" ref="BN290" si="438">SUBTOTAL(9,BN236:BN289)</f>
        <v>0</v>
      </c>
      <c r="BO290" s="224">
        <f t="shared" ref="BO290" si="439">SUBTOTAL(9,BO236:BO289)</f>
        <v>0</v>
      </c>
      <c r="BP290" s="226">
        <f t="shared" ref="BP290:BQ290" si="440">SUBTOTAL(9,BP236:BP289)</f>
        <v>0</v>
      </c>
      <c r="BQ290" s="231">
        <f t="shared" si="440"/>
        <v>692116.93536222272</v>
      </c>
      <c r="BR290" s="232">
        <f t="shared" ref="BR290" si="441">SUBTOTAL(9,BR236:BR289)</f>
        <v>0</v>
      </c>
      <c r="BS290" s="232">
        <f t="shared" ref="BS290" si="442">SUBTOTAL(9,BS236:BS289)</f>
        <v>0</v>
      </c>
      <c r="BT290" s="233">
        <f t="shared" ref="BT290:BU290" si="443">SUBTOTAL(9,BT236:BT289)</f>
        <v>0</v>
      </c>
      <c r="BU290" s="223">
        <f t="shared" si="443"/>
        <v>712880.44342308934</v>
      </c>
      <c r="BV290" s="224">
        <f t="shared" ref="BV290" si="444">SUBTOTAL(9,BV236:BV289)</f>
        <v>0</v>
      </c>
      <c r="BW290" s="224">
        <f t="shared" ref="BW290" si="445">SUBTOTAL(9,BW236:BW289)</f>
        <v>0</v>
      </c>
      <c r="BX290" s="226">
        <f t="shared" ref="BX290:BY290" si="446">SUBTOTAL(9,BX236:BX289)</f>
        <v>0</v>
      </c>
      <c r="BY290" s="231">
        <f t="shared" si="446"/>
        <v>734266.85672578192</v>
      </c>
      <c r="BZ290" s="232">
        <f t="shared" ref="BZ290" si="447">SUBTOTAL(9,BZ236:BZ289)</f>
        <v>0</v>
      </c>
      <c r="CA290" s="232">
        <f t="shared" ref="CA290" si="448">SUBTOTAL(9,CA236:CA289)</f>
        <v>0</v>
      </c>
      <c r="CB290" s="233">
        <f t="shared" ref="CB290:CC290" si="449">SUBTOTAL(9,CB236:CB289)</f>
        <v>0</v>
      </c>
      <c r="CC290" s="223">
        <f t="shared" si="449"/>
        <v>756294.86242755549</v>
      </c>
      <c r="CD290" s="224">
        <f t="shared" ref="CD290" si="450">SUBTOTAL(9,CD236:CD289)</f>
        <v>0</v>
      </c>
      <c r="CE290" s="224">
        <f t="shared" ref="CE290" si="451">SUBTOTAL(9,CE236:CE289)</f>
        <v>0</v>
      </c>
      <c r="CF290" s="226">
        <f t="shared" ref="CF290:CG290" si="452">SUBTOTAL(9,CF236:CF289)</f>
        <v>0</v>
      </c>
      <c r="CG290" s="231">
        <f t="shared" si="452"/>
        <v>778983.70830038225</v>
      </c>
      <c r="CH290" s="232">
        <f t="shared" ref="CH290" si="453">SUBTOTAL(9,CH236:CH289)</f>
        <v>0</v>
      </c>
      <c r="CI290" s="232">
        <f t="shared" ref="CI290" si="454">SUBTOTAL(9,CI236:CI289)</f>
        <v>0</v>
      </c>
      <c r="CJ290" s="233">
        <f t="shared" ref="CJ290:CK290" si="455">SUBTOTAL(9,CJ236:CJ289)</f>
        <v>0</v>
      </c>
      <c r="CK290" s="223">
        <f t="shared" si="455"/>
        <v>802353.21954939351</v>
      </c>
      <c r="CL290" s="224">
        <f t="shared" ref="CL290" si="456">SUBTOTAL(9,CL236:CL289)</f>
        <v>0</v>
      </c>
      <c r="CM290" s="224">
        <f t="shared" ref="CM290" si="457">SUBTOTAL(9,CM236:CM289)</f>
        <v>0</v>
      </c>
      <c r="CN290" s="226">
        <f t="shared" ref="CN290:CO290" si="458">SUBTOTAL(9,CN236:CN289)</f>
        <v>0</v>
      </c>
      <c r="CO290" s="231">
        <f t="shared" si="458"/>
        <v>826423.81613587542</v>
      </c>
      <c r="CP290" s="232">
        <f t="shared" ref="CP290" si="459">SUBTOTAL(9,CP236:CP289)</f>
        <v>0</v>
      </c>
      <c r="CQ290" s="232">
        <f t="shared" ref="CQ290" si="460">SUBTOTAL(9,CQ236:CQ289)</f>
        <v>0</v>
      </c>
      <c r="CR290" s="233">
        <f t="shared" ref="CR290:CS290" si="461">SUBTOTAL(9,CR236:CR289)</f>
        <v>0</v>
      </c>
      <c r="CS290" s="223">
        <f t="shared" si="461"/>
        <v>851216.53061995166</v>
      </c>
      <c r="CT290" s="224">
        <f t="shared" ref="CT290" si="462">SUBTOTAL(9,CT236:CT289)</f>
        <v>0</v>
      </c>
      <c r="CU290" s="224">
        <f t="shared" ref="CU290" si="463">SUBTOTAL(9,CU236:CU289)</f>
        <v>0</v>
      </c>
      <c r="CV290" s="226">
        <f t="shared" ref="CV290:CW290" si="464">SUBTOTAL(9,CV236:CV289)</f>
        <v>0</v>
      </c>
      <c r="CW290" s="231">
        <f t="shared" si="464"/>
        <v>876753.02653855016</v>
      </c>
      <c r="CX290" s="232">
        <f t="shared" ref="CX290" si="465">SUBTOTAL(9,CX236:CX289)</f>
        <v>0</v>
      </c>
      <c r="CY290" s="232">
        <f t="shared" ref="CY290" si="466">SUBTOTAL(9,CY236:CY289)</f>
        <v>0</v>
      </c>
      <c r="CZ290" s="233">
        <f t="shared" ref="CZ290:DA290" si="467">SUBTOTAL(9,CZ236:CZ289)</f>
        <v>0</v>
      </c>
      <c r="DA290" s="223">
        <f t="shared" si="467"/>
        <v>903055.61733470671</v>
      </c>
      <c r="DB290" s="224">
        <f t="shared" ref="DB290" si="468">SUBTOTAL(9,DB236:DB289)</f>
        <v>0</v>
      </c>
      <c r="DC290" s="224">
        <f t="shared" ref="DC290" si="469">SUBTOTAL(9,DC236:DC289)</f>
        <v>0</v>
      </c>
      <c r="DD290" s="226">
        <f t="shared" ref="DD290" si="470">SUBTOTAL(9,DD236:DD289)</f>
        <v>0</v>
      </c>
    </row>
    <row r="291" spans="2:108" x14ac:dyDescent="0.2">
      <c r="B291" s="183"/>
      <c r="C291" s="189"/>
      <c r="D291" s="168"/>
      <c r="E291" s="149"/>
      <c r="F291" s="149"/>
      <c r="G291" s="149"/>
      <c r="H291" s="168"/>
      <c r="I291" s="600"/>
      <c r="J291" s="600"/>
      <c r="K291" s="600"/>
      <c r="L291" s="600"/>
      <c r="M291" s="600"/>
      <c r="N291" s="600"/>
      <c r="O291" s="600"/>
      <c r="P291" s="600"/>
      <c r="Q291" s="600"/>
      <c r="R291" s="600"/>
      <c r="S291" s="600"/>
      <c r="T291" s="600"/>
      <c r="U291" s="600"/>
      <c r="V291" s="600"/>
      <c r="W291" s="600"/>
      <c r="X291" s="600"/>
      <c r="Y291" s="600"/>
      <c r="Z291" s="600"/>
      <c r="AA291" s="600"/>
      <c r="AB291" s="601"/>
      <c r="AC291" s="160"/>
      <c r="AD291" s="150"/>
      <c r="AE291" s="150"/>
      <c r="AF291" s="165"/>
      <c r="AG291" s="168"/>
      <c r="AH291" s="149"/>
      <c r="AI291" s="149"/>
      <c r="AJ291" s="171"/>
      <c r="AK291" s="160"/>
      <c r="AL291" s="150"/>
      <c r="AM291" s="150"/>
      <c r="AN291" s="165"/>
      <c r="AO291" s="168"/>
      <c r="AP291" s="149"/>
      <c r="AQ291" s="149"/>
      <c r="AR291" s="171"/>
      <c r="AS291" s="160"/>
      <c r="AT291" s="150"/>
      <c r="AU291" s="150"/>
      <c r="AV291" s="165"/>
      <c r="AW291" s="168"/>
      <c r="AX291" s="149"/>
      <c r="AY291" s="149"/>
      <c r="AZ291" s="171"/>
      <c r="BA291" s="160"/>
      <c r="BB291" s="150"/>
      <c r="BC291" s="150"/>
      <c r="BD291" s="165"/>
      <c r="BE291" s="168"/>
      <c r="BF291" s="149"/>
      <c r="BG291" s="149"/>
      <c r="BH291" s="171"/>
      <c r="BI291" s="160"/>
      <c r="BJ291" s="150"/>
      <c r="BK291" s="150"/>
      <c r="BL291" s="165"/>
      <c r="BM291" s="168"/>
      <c r="BN291" s="149"/>
      <c r="BO291" s="149"/>
      <c r="BP291" s="171"/>
      <c r="BQ291" s="160"/>
      <c r="BR291" s="150"/>
      <c r="BS291" s="150"/>
      <c r="BT291" s="165"/>
      <c r="BU291" s="168"/>
      <c r="BV291" s="149"/>
      <c r="BW291" s="149"/>
      <c r="BX291" s="171"/>
      <c r="BY291" s="160"/>
      <c r="BZ291" s="150"/>
      <c r="CA291" s="150"/>
      <c r="CB291" s="165"/>
      <c r="CC291" s="168"/>
      <c r="CD291" s="149"/>
      <c r="CE291" s="149"/>
      <c r="CF291" s="171"/>
      <c r="CG291" s="160"/>
      <c r="CH291" s="150"/>
      <c r="CI291" s="150"/>
      <c r="CJ291" s="165"/>
      <c r="CK291" s="168"/>
      <c r="CL291" s="149"/>
      <c r="CM291" s="149"/>
      <c r="CN291" s="171"/>
      <c r="CO291" s="160"/>
      <c r="CP291" s="150"/>
      <c r="CQ291" s="150"/>
      <c r="CR291" s="165"/>
      <c r="CS291" s="168"/>
      <c r="CT291" s="149"/>
      <c r="CU291" s="149"/>
      <c r="CV291" s="171"/>
      <c r="CW291" s="160"/>
      <c r="CX291" s="150"/>
      <c r="CY291" s="150"/>
      <c r="CZ291" s="165"/>
      <c r="DA291" s="168"/>
      <c r="DB291" s="149"/>
      <c r="DC291" s="149"/>
      <c r="DD291" s="157"/>
    </row>
    <row r="292" spans="2:108" x14ac:dyDescent="0.2">
      <c r="B292" s="183"/>
      <c r="C292" s="190" t="s">
        <v>46</v>
      </c>
      <c r="D292" s="227">
        <f>D120+D231+D290</f>
        <v>109360200</v>
      </c>
      <c r="E292" s="228">
        <f t="shared" ref="E292:G292" si="471">E120+E231+E290</f>
        <v>2469500</v>
      </c>
      <c r="F292" s="228">
        <f t="shared" si="471"/>
        <v>1922500</v>
      </c>
      <c r="G292" s="229">
        <f t="shared" si="471"/>
        <v>1794100</v>
      </c>
      <c r="H292" s="168"/>
      <c r="I292" s="600"/>
      <c r="J292" s="600"/>
      <c r="K292" s="600"/>
      <c r="L292" s="600"/>
      <c r="M292" s="600"/>
      <c r="N292" s="600"/>
      <c r="O292" s="600"/>
      <c r="P292" s="600"/>
      <c r="Q292" s="600"/>
      <c r="R292" s="600"/>
      <c r="S292" s="600"/>
      <c r="T292" s="600"/>
      <c r="U292" s="600"/>
      <c r="V292" s="600"/>
      <c r="W292" s="600"/>
      <c r="X292" s="600"/>
      <c r="Y292" s="600"/>
      <c r="Z292" s="600"/>
      <c r="AA292" s="600"/>
      <c r="AB292" s="601"/>
      <c r="AC292" s="623">
        <f>SUBTOTAL(9,AC14:AC291)</f>
        <v>2405325</v>
      </c>
      <c r="AD292" s="624">
        <f>SUBTOTAL(9,AD14:AD291)</f>
        <v>0</v>
      </c>
      <c r="AE292" s="624">
        <f>SUBTOTAL(9,AE14:AE291)</f>
        <v>0</v>
      </c>
      <c r="AF292" s="625">
        <f>SUBTOTAL(9,AF14:AF291)</f>
        <v>0</v>
      </c>
      <c r="AG292" s="626">
        <f t="shared" ref="AG292:CR292" si="472">SUBTOTAL(9,AG14:AG291)</f>
        <v>5804146.7684999984</v>
      </c>
      <c r="AH292" s="627">
        <f t="shared" si="472"/>
        <v>382136.17999999993</v>
      </c>
      <c r="AI292" s="627">
        <f t="shared" si="472"/>
        <v>0</v>
      </c>
      <c r="AJ292" s="628">
        <f t="shared" si="472"/>
        <v>172290.15999999997</v>
      </c>
      <c r="AK292" s="623">
        <f t="shared" si="472"/>
        <v>32612164.133249998</v>
      </c>
      <c r="AL292" s="624">
        <f t="shared" si="472"/>
        <v>393600.26540000003</v>
      </c>
      <c r="AM292" s="624">
        <f t="shared" si="472"/>
        <v>23275.0851</v>
      </c>
      <c r="AN292" s="625">
        <f t="shared" si="472"/>
        <v>469544.79190000007</v>
      </c>
      <c r="AO292" s="626">
        <f t="shared" si="472"/>
        <v>3186315.4411099995</v>
      </c>
      <c r="AP292" s="627">
        <f t="shared" si="472"/>
        <v>1373289.5745214997</v>
      </c>
      <c r="AQ292" s="627">
        <f t="shared" si="472"/>
        <v>942135.2871307499</v>
      </c>
      <c r="AR292" s="628">
        <f t="shared" si="472"/>
        <v>658113.13892724994</v>
      </c>
      <c r="AS292" s="623">
        <f t="shared" si="472"/>
        <v>8880329.2276565731</v>
      </c>
      <c r="AT292" s="624">
        <f t="shared" si="472"/>
        <v>996917.74019428482</v>
      </c>
      <c r="AU292" s="624">
        <f t="shared" si="472"/>
        <v>877541.49239324243</v>
      </c>
      <c r="AV292" s="625">
        <f t="shared" si="472"/>
        <v>179716.46336835745</v>
      </c>
      <c r="AW292" s="626">
        <f t="shared" si="472"/>
        <v>9794285.6054169126</v>
      </c>
      <c r="AX292" s="627">
        <f t="shared" si="472"/>
        <v>1510834.3707981438</v>
      </c>
      <c r="AY292" s="627">
        <f t="shared" si="472"/>
        <v>916793.35327496612</v>
      </c>
      <c r="AZ292" s="628">
        <f t="shared" si="472"/>
        <v>330036.05476061557</v>
      </c>
      <c r="BA292" s="623">
        <f t="shared" si="472"/>
        <v>17152620.345227763</v>
      </c>
      <c r="BB292" s="624">
        <f t="shared" si="472"/>
        <v>1556159.4019220879</v>
      </c>
      <c r="BC292" s="624">
        <f t="shared" si="472"/>
        <v>1468715.3700903798</v>
      </c>
      <c r="BD292" s="625">
        <f t="shared" si="472"/>
        <v>1031987.1604780084</v>
      </c>
      <c r="BE292" s="626">
        <f t="shared" si="472"/>
        <v>25631192.441756327</v>
      </c>
      <c r="BF292" s="627">
        <f t="shared" si="472"/>
        <v>1688984.5495141086</v>
      </c>
      <c r="BG292" s="627">
        <f t="shared" si="472"/>
        <v>1809834.4152784869</v>
      </c>
      <c r="BH292" s="628">
        <f t="shared" si="472"/>
        <v>1528484.7802022975</v>
      </c>
      <c r="BI292" s="623">
        <f t="shared" si="472"/>
        <v>652386.59191462223</v>
      </c>
      <c r="BJ292" s="624">
        <f t="shared" si="472"/>
        <v>2256474.7441142951</v>
      </c>
      <c r="BK292" s="624">
        <f t="shared" si="472"/>
        <v>2064281.6541362475</v>
      </c>
      <c r="BL292" s="625">
        <f t="shared" si="472"/>
        <v>1600304.3099665684</v>
      </c>
      <c r="BM292" s="626">
        <f t="shared" si="472"/>
        <v>2092343.4110008632</v>
      </c>
      <c r="BN292" s="627">
        <f t="shared" si="472"/>
        <v>2324168.9864377244</v>
      </c>
      <c r="BO292" s="627">
        <f t="shared" si="472"/>
        <v>2126210.1037603351</v>
      </c>
      <c r="BP292" s="628">
        <f t="shared" si="472"/>
        <v>1648313.4392655652</v>
      </c>
      <c r="BQ292" s="623">
        <f t="shared" si="472"/>
        <v>692116.93536222272</v>
      </c>
      <c r="BR292" s="624">
        <f t="shared" si="472"/>
        <v>2409535.8987700427</v>
      </c>
      <c r="BS292" s="624">
        <f t="shared" si="472"/>
        <v>2189996.4068731451</v>
      </c>
      <c r="BT292" s="625">
        <f t="shared" si="472"/>
        <v>1712712.5682473565</v>
      </c>
      <c r="BU292" s="626">
        <f t="shared" si="472"/>
        <v>712880.44342308934</v>
      </c>
      <c r="BV292" s="627">
        <f t="shared" si="472"/>
        <v>2481821.9757331428</v>
      </c>
      <c r="BW292" s="627">
        <f t="shared" si="472"/>
        <v>2255696.2990793395</v>
      </c>
      <c r="BX292" s="628">
        <f t="shared" si="472"/>
        <v>1764093.9452947769</v>
      </c>
      <c r="BY292" s="623">
        <f t="shared" si="472"/>
        <v>734266.85672578192</v>
      </c>
      <c r="BZ292" s="624">
        <f t="shared" si="472"/>
        <v>2556276.635005137</v>
      </c>
      <c r="CA292" s="624">
        <f t="shared" si="472"/>
        <v>2323367.1880517197</v>
      </c>
      <c r="CB292" s="625">
        <f t="shared" si="472"/>
        <v>1817016.7636536201</v>
      </c>
      <c r="CC292" s="626">
        <f t="shared" si="472"/>
        <v>7867886.712806345</v>
      </c>
      <c r="CD292" s="627">
        <f t="shared" si="472"/>
        <v>2632964.9340552916</v>
      </c>
      <c r="CE292" s="627">
        <f t="shared" si="472"/>
        <v>2393068.2036932711</v>
      </c>
      <c r="CF292" s="628">
        <f t="shared" si="472"/>
        <v>1871527.2665632288</v>
      </c>
      <c r="CG292" s="623">
        <f t="shared" si="472"/>
        <v>10516280.062055159</v>
      </c>
      <c r="CH292" s="624">
        <f t="shared" si="472"/>
        <v>3179344.1070571798</v>
      </c>
      <c r="CI292" s="624">
        <f t="shared" si="472"/>
        <v>2581707.8060491267</v>
      </c>
      <c r="CJ292" s="625">
        <f t="shared" si="472"/>
        <v>1927673.0845601256</v>
      </c>
      <c r="CK292" s="626">
        <f t="shared" si="472"/>
        <v>802353.21954939351</v>
      </c>
      <c r="CL292" s="627">
        <f t="shared" si="472"/>
        <v>3362983.284419328</v>
      </c>
      <c r="CM292" s="627">
        <f t="shared" si="472"/>
        <v>2659159.0402306002</v>
      </c>
      <c r="CN292" s="628">
        <f t="shared" si="472"/>
        <v>1985503.2770969295</v>
      </c>
      <c r="CO292" s="623">
        <f t="shared" si="472"/>
        <v>826423.81613587542</v>
      </c>
      <c r="CP292" s="624">
        <f t="shared" si="472"/>
        <v>3463872.7829519087</v>
      </c>
      <c r="CQ292" s="624">
        <f t="shared" si="472"/>
        <v>2738933.8114375183</v>
      </c>
      <c r="CR292" s="625">
        <f t="shared" si="472"/>
        <v>2045068.3754098369</v>
      </c>
      <c r="CS292" s="626">
        <f t="shared" ref="CS292:DD292" si="473">SUBTOTAL(9,CS14:CS291)</f>
        <v>851216.53061995166</v>
      </c>
      <c r="CT292" s="627">
        <f t="shared" si="473"/>
        <v>3567788.9664404648</v>
      </c>
      <c r="CU292" s="627">
        <f t="shared" si="473"/>
        <v>2821101.8257806441</v>
      </c>
      <c r="CV292" s="628">
        <f t="shared" si="473"/>
        <v>2106420.4266721322</v>
      </c>
      <c r="CW292" s="623">
        <f t="shared" si="473"/>
        <v>876753.02653855016</v>
      </c>
      <c r="CX292" s="624">
        <f t="shared" si="473"/>
        <v>3674822.6354336794</v>
      </c>
      <c r="CY292" s="624">
        <f t="shared" si="473"/>
        <v>2905734.8805540632</v>
      </c>
      <c r="CZ292" s="625">
        <f t="shared" si="473"/>
        <v>2169613.0394722964</v>
      </c>
      <c r="DA292" s="626">
        <f t="shared" si="473"/>
        <v>903055.61733470671</v>
      </c>
      <c r="DB292" s="627">
        <f t="shared" si="473"/>
        <v>3785067.3144966899</v>
      </c>
      <c r="DC292" s="627">
        <f t="shared" si="473"/>
        <v>2992906.9269706849</v>
      </c>
      <c r="DD292" s="628">
        <f t="shared" si="473"/>
        <v>2234701.4306564652</v>
      </c>
    </row>
    <row r="293" spans="2:108" x14ac:dyDescent="0.2">
      <c r="B293" s="183"/>
      <c r="C293" s="189"/>
      <c r="D293" s="168"/>
      <c r="E293" s="149"/>
      <c r="F293" s="149"/>
      <c r="G293" s="149"/>
      <c r="H293" s="168"/>
      <c r="I293" s="600"/>
      <c r="J293" s="600"/>
      <c r="K293" s="600"/>
      <c r="L293" s="600"/>
      <c r="M293" s="600"/>
      <c r="N293" s="600"/>
      <c r="O293" s="600"/>
      <c r="P293" s="600"/>
      <c r="Q293" s="600"/>
      <c r="R293" s="600"/>
      <c r="S293" s="600"/>
      <c r="T293" s="600"/>
      <c r="U293" s="600"/>
      <c r="V293" s="600"/>
      <c r="W293" s="600"/>
      <c r="X293" s="600"/>
      <c r="Y293" s="600"/>
      <c r="Z293" s="600"/>
      <c r="AA293" s="600"/>
      <c r="AB293" s="601"/>
      <c r="AC293" s="160"/>
      <c r="AD293" s="150"/>
      <c r="AE293" s="150"/>
      <c r="AF293" s="165"/>
      <c r="AG293" s="222"/>
      <c r="AH293" s="149"/>
      <c r="AI293" s="149"/>
      <c r="AJ293" s="171"/>
      <c r="AK293" s="160"/>
      <c r="AL293" s="150"/>
      <c r="AM293" s="150"/>
      <c r="AN293" s="165"/>
      <c r="AO293" s="222"/>
      <c r="AP293" s="149"/>
      <c r="AQ293" s="149"/>
      <c r="AR293" s="157"/>
      <c r="AS293" s="160"/>
      <c r="AT293" s="150"/>
      <c r="AU293" s="150"/>
      <c r="AV293" s="165"/>
      <c r="AW293" s="222"/>
      <c r="AX293" s="149"/>
      <c r="AY293" s="149"/>
      <c r="AZ293" s="157"/>
      <c r="BA293" s="160"/>
      <c r="BB293" s="150"/>
      <c r="BC293" s="150"/>
      <c r="BD293" s="176"/>
      <c r="BE293" s="222"/>
      <c r="BF293" s="149"/>
      <c r="BG293" s="149"/>
      <c r="BH293" s="171"/>
      <c r="BI293" s="160"/>
      <c r="BJ293" s="150"/>
      <c r="BK293" s="150"/>
      <c r="BL293" s="176"/>
      <c r="BM293" s="222"/>
      <c r="BN293" s="149"/>
      <c r="BO293" s="149"/>
      <c r="BP293" s="157"/>
      <c r="BQ293" s="160"/>
      <c r="BR293" s="150"/>
      <c r="BS293" s="150"/>
      <c r="BT293" s="176"/>
      <c r="BU293" s="222"/>
      <c r="BV293" s="149"/>
      <c r="BW293" s="149"/>
      <c r="BX293" s="157"/>
      <c r="BY293" s="160"/>
      <c r="BZ293" s="150"/>
      <c r="CA293" s="150"/>
      <c r="CB293" s="176"/>
      <c r="CC293" s="222"/>
      <c r="CD293" s="149"/>
      <c r="CE293" s="149"/>
      <c r="CF293" s="157"/>
      <c r="CG293" s="160"/>
      <c r="CH293" s="150"/>
      <c r="CI293" s="150"/>
      <c r="CJ293" s="176"/>
      <c r="CK293" s="222"/>
      <c r="CL293" s="149"/>
      <c r="CM293" s="149"/>
      <c r="CN293" s="157"/>
      <c r="CO293" s="160"/>
      <c r="CP293" s="150"/>
      <c r="CQ293" s="150"/>
      <c r="CR293" s="176"/>
      <c r="CS293" s="222"/>
      <c r="CT293" s="149"/>
      <c r="CU293" s="149"/>
      <c r="CV293" s="157"/>
      <c r="CW293" s="160"/>
      <c r="CX293" s="150"/>
      <c r="CY293" s="150"/>
      <c r="CZ293" s="176"/>
      <c r="DA293" s="222"/>
      <c r="DB293" s="149"/>
      <c r="DC293" s="149"/>
      <c r="DD293" s="157"/>
    </row>
    <row r="294" spans="2:108" x14ac:dyDescent="0.2">
      <c r="B294" s="629" t="str">
        <f>CONCATENATE(Assumptions!B57," ","="," ",Assumptions!C57," ","(",Assumptions!E57,")")</f>
        <v>Engineering News Record (ENR) = 10182 (Feb. 2016)</v>
      </c>
      <c r="C294" s="630"/>
      <c r="D294" s="180" t="s">
        <v>219</v>
      </c>
      <c r="E294" s="559">
        <v>0.03</v>
      </c>
      <c r="F294" s="154" t="s">
        <v>273</v>
      </c>
      <c r="G294" s="559">
        <v>1.4999999999999999E-2</v>
      </c>
      <c r="H294" s="227">
        <f>SUM(H14:H119)+SUM(H126:H230)+SUM(H236:H289)</f>
        <v>207549651.85038504</v>
      </c>
      <c r="I294" s="631"/>
      <c r="J294" s="631"/>
      <c r="K294" s="631"/>
      <c r="L294" s="631"/>
      <c r="M294" s="631"/>
      <c r="N294" s="631"/>
      <c r="O294" s="631"/>
      <c r="P294" s="631"/>
      <c r="Q294" s="631"/>
      <c r="R294" s="631"/>
      <c r="S294" s="631"/>
      <c r="T294" s="631"/>
      <c r="U294" s="631"/>
      <c r="V294" s="631"/>
      <c r="W294" s="631"/>
      <c r="X294" s="631"/>
      <c r="Y294" s="631"/>
      <c r="Z294" s="631"/>
      <c r="AA294" s="631"/>
      <c r="AB294" s="632"/>
      <c r="AC294" s="160"/>
      <c r="AD294" s="150"/>
      <c r="AE294" s="150"/>
      <c r="AF294" s="165"/>
      <c r="AG294" s="633">
        <f t="shared" ref="AG294:BH294" si="474">SUM(AG14:AG291)</f>
        <v>11608293.536999999</v>
      </c>
      <c r="AH294" s="627">
        <f t="shared" si="474"/>
        <v>764272.35999999987</v>
      </c>
      <c r="AI294" s="627">
        <f t="shared" si="474"/>
        <v>0</v>
      </c>
      <c r="AJ294" s="628">
        <f t="shared" si="474"/>
        <v>344580.31999999995</v>
      </c>
      <c r="AK294" s="623">
        <f t="shared" si="474"/>
        <v>65224328.266499996</v>
      </c>
      <c r="AL294" s="624">
        <f t="shared" si="474"/>
        <v>787200.53080000007</v>
      </c>
      <c r="AM294" s="624">
        <f t="shared" si="474"/>
        <v>46550.1702</v>
      </c>
      <c r="AN294" s="625">
        <f t="shared" si="474"/>
        <v>939089.58380000014</v>
      </c>
      <c r="AO294" s="633">
        <f t="shared" si="474"/>
        <v>6372630.8822199991</v>
      </c>
      <c r="AP294" s="627">
        <f t="shared" si="474"/>
        <v>2746579.1490429998</v>
      </c>
      <c r="AQ294" s="627">
        <f t="shared" si="474"/>
        <v>1884270.5742614998</v>
      </c>
      <c r="AR294" s="628">
        <f t="shared" si="474"/>
        <v>1316226.2778544999</v>
      </c>
      <c r="AS294" s="623">
        <f t="shared" si="474"/>
        <v>17760658.45531315</v>
      </c>
      <c r="AT294" s="624">
        <f t="shared" si="474"/>
        <v>1993835.4803885696</v>
      </c>
      <c r="AU294" s="624">
        <f t="shared" si="474"/>
        <v>1755082.9847864849</v>
      </c>
      <c r="AV294" s="625">
        <f t="shared" si="474"/>
        <v>359432.9267367149</v>
      </c>
      <c r="AW294" s="633">
        <f t="shared" si="474"/>
        <v>19588571.210833829</v>
      </c>
      <c r="AX294" s="627">
        <f t="shared" si="474"/>
        <v>3021668.7415962871</v>
      </c>
      <c r="AY294" s="627">
        <f t="shared" si="474"/>
        <v>1833586.7065499322</v>
      </c>
      <c r="AZ294" s="628">
        <f t="shared" si="474"/>
        <v>660072.10952123115</v>
      </c>
      <c r="BA294" s="623">
        <f t="shared" si="474"/>
        <v>34224007.521644212</v>
      </c>
      <c r="BB294" s="624">
        <f t="shared" si="474"/>
        <v>3112318.8038441762</v>
      </c>
      <c r="BC294" s="624">
        <f t="shared" si="474"/>
        <v>2937430.7401807592</v>
      </c>
      <c r="BD294" s="625">
        <f t="shared" si="474"/>
        <v>2063974.3209560169</v>
      </c>
      <c r="BE294" s="633">
        <f t="shared" si="474"/>
        <v>51262384.883512646</v>
      </c>
      <c r="BF294" s="627">
        <f t="shared" si="474"/>
        <v>3377969.0990282167</v>
      </c>
      <c r="BG294" s="627">
        <f t="shared" si="474"/>
        <v>3619668.8305569733</v>
      </c>
      <c r="BH294" s="628">
        <f t="shared" si="474"/>
        <v>3056969.560404595</v>
      </c>
      <c r="BI294" s="623">
        <f t="shared" ref="BI294:CN294" si="475">SUM(BI14:BI291)</f>
        <v>1304773.1838292445</v>
      </c>
      <c r="BJ294" s="624">
        <f t="shared" si="475"/>
        <v>4512949.4882285902</v>
      </c>
      <c r="BK294" s="624">
        <f t="shared" si="475"/>
        <v>4128563.3082724949</v>
      </c>
      <c r="BL294" s="625">
        <f t="shared" si="475"/>
        <v>3200608.6199331367</v>
      </c>
      <c r="BM294" s="633">
        <f t="shared" si="475"/>
        <v>2764301.600672924</v>
      </c>
      <c r="BN294" s="627">
        <f t="shared" si="475"/>
        <v>4648337.9728754489</v>
      </c>
      <c r="BO294" s="627">
        <f t="shared" si="475"/>
        <v>4252420.2075206703</v>
      </c>
      <c r="BP294" s="628">
        <f t="shared" si="475"/>
        <v>3296626.8785311305</v>
      </c>
      <c r="BQ294" s="623">
        <f t="shared" si="475"/>
        <v>1384233.8707244454</v>
      </c>
      <c r="BR294" s="624">
        <f t="shared" si="475"/>
        <v>4803429.9548008982</v>
      </c>
      <c r="BS294" s="624">
        <f t="shared" si="475"/>
        <v>4379992.8137462903</v>
      </c>
      <c r="BT294" s="625">
        <f t="shared" si="475"/>
        <v>3410475.4106908888</v>
      </c>
      <c r="BU294" s="633">
        <f t="shared" si="475"/>
        <v>1425760.8868461787</v>
      </c>
      <c r="BV294" s="627">
        <f t="shared" si="475"/>
        <v>4947532.8534449246</v>
      </c>
      <c r="BW294" s="627">
        <f t="shared" si="475"/>
        <v>4511392.598158679</v>
      </c>
      <c r="BX294" s="628">
        <f t="shared" si="475"/>
        <v>3512789.6730116149</v>
      </c>
      <c r="BY294" s="623">
        <f t="shared" si="475"/>
        <v>1468533.7134515638</v>
      </c>
      <c r="BZ294" s="624">
        <f t="shared" si="475"/>
        <v>5095958.8390482729</v>
      </c>
      <c r="CA294" s="624">
        <f t="shared" si="475"/>
        <v>4646734.3761034394</v>
      </c>
      <c r="CB294" s="625">
        <f t="shared" si="475"/>
        <v>3618173.3632019632</v>
      </c>
      <c r="CC294" s="633">
        <f t="shared" si="475"/>
        <v>15735773.425612692</v>
      </c>
      <c r="CD294" s="627">
        <f t="shared" si="475"/>
        <v>5248837.6042197198</v>
      </c>
      <c r="CE294" s="627">
        <f t="shared" si="475"/>
        <v>4786136.4073865423</v>
      </c>
      <c r="CF294" s="628">
        <f t="shared" si="475"/>
        <v>3726718.5640980219</v>
      </c>
      <c r="CG294" s="623">
        <f t="shared" si="475"/>
        <v>21032560.124110319</v>
      </c>
      <c r="CH294" s="624">
        <f t="shared" si="475"/>
        <v>6341083.1823067712</v>
      </c>
      <c r="CI294" s="624">
        <f t="shared" si="475"/>
        <v>5163415.6120982533</v>
      </c>
      <c r="CJ294" s="625">
        <f t="shared" si="475"/>
        <v>3838520.1210209629</v>
      </c>
      <c r="CK294" s="633">
        <f t="shared" si="475"/>
        <v>1604706.439098787</v>
      </c>
      <c r="CL294" s="627">
        <f t="shared" si="475"/>
        <v>6707833.3860768387</v>
      </c>
      <c r="CM294" s="627">
        <f t="shared" si="475"/>
        <v>5318318.0804612003</v>
      </c>
      <c r="CN294" s="628">
        <f t="shared" si="475"/>
        <v>3953675.7246515914</v>
      </c>
      <c r="CO294" s="623">
        <f t="shared" ref="CO294:DD294" si="476">SUM(CO14:CO291)</f>
        <v>1652847.6322717508</v>
      </c>
      <c r="CP294" s="624">
        <f t="shared" si="476"/>
        <v>6909068.3876591465</v>
      </c>
      <c r="CQ294" s="624">
        <f t="shared" si="476"/>
        <v>5477867.6228750367</v>
      </c>
      <c r="CR294" s="625">
        <f t="shared" si="476"/>
        <v>4072285.9963911385</v>
      </c>
      <c r="CS294" s="633">
        <f t="shared" si="476"/>
        <v>1702433.0612399033</v>
      </c>
      <c r="CT294" s="627">
        <f t="shared" si="476"/>
        <v>7116340.4392889189</v>
      </c>
      <c r="CU294" s="627">
        <f t="shared" si="476"/>
        <v>5642203.6515612882</v>
      </c>
      <c r="CV294" s="628">
        <f t="shared" si="476"/>
        <v>4194454.5762828737</v>
      </c>
      <c r="CW294" s="623">
        <f t="shared" si="476"/>
        <v>1753506.0530771003</v>
      </c>
      <c r="CX294" s="624">
        <f t="shared" si="476"/>
        <v>7329830.652467588</v>
      </c>
      <c r="CY294" s="624">
        <f t="shared" si="476"/>
        <v>5811469.7611081256</v>
      </c>
      <c r="CZ294" s="625">
        <f t="shared" si="476"/>
        <v>4320288.2135713603</v>
      </c>
      <c r="DA294" s="633">
        <f t="shared" si="476"/>
        <v>1806111.2346694134</v>
      </c>
      <c r="DB294" s="627">
        <f t="shared" si="476"/>
        <v>7549725.5720416149</v>
      </c>
      <c r="DC294" s="627">
        <f t="shared" si="476"/>
        <v>5985813.8539413698</v>
      </c>
      <c r="DD294" s="628">
        <f t="shared" si="476"/>
        <v>4449896.8599785008</v>
      </c>
    </row>
    <row r="295" spans="2:108" ht="12.75" thickBot="1" x14ac:dyDescent="0.25">
      <c r="B295" s="634"/>
      <c r="C295" s="634"/>
      <c r="D295" s="635"/>
      <c r="E295" s="636"/>
      <c r="F295" s="636"/>
      <c r="G295" s="636"/>
      <c r="H295" s="635"/>
      <c r="I295" s="637"/>
      <c r="J295" s="637"/>
      <c r="K295" s="637"/>
      <c r="L295" s="637"/>
      <c r="M295" s="637"/>
      <c r="N295" s="637"/>
      <c r="O295" s="637"/>
      <c r="P295" s="637"/>
      <c r="Q295" s="637"/>
      <c r="R295" s="637"/>
      <c r="S295" s="637"/>
      <c r="T295" s="637"/>
      <c r="U295" s="637"/>
      <c r="V295" s="637"/>
      <c r="W295" s="637"/>
      <c r="X295" s="637"/>
      <c r="Y295" s="637"/>
      <c r="Z295" s="637"/>
      <c r="AA295" s="637"/>
      <c r="AB295" s="638"/>
      <c r="AC295" s="639"/>
      <c r="AD295" s="640"/>
      <c r="AE295" s="640"/>
      <c r="AF295" s="641"/>
      <c r="AG295" s="642"/>
      <c r="AH295" s="637"/>
      <c r="AI295" s="637"/>
      <c r="AJ295" s="638"/>
      <c r="AK295" s="639"/>
      <c r="AL295" s="640"/>
      <c r="AM295" s="640"/>
      <c r="AN295" s="641"/>
      <c r="AO295" s="642"/>
      <c r="AP295" s="637"/>
      <c r="AQ295" s="637"/>
      <c r="AR295" s="643"/>
      <c r="AS295" s="639"/>
      <c r="AT295" s="640"/>
      <c r="AU295" s="640"/>
      <c r="AV295" s="641"/>
      <c r="AW295" s="642"/>
      <c r="AX295" s="637"/>
      <c r="AY295" s="637"/>
      <c r="AZ295" s="643"/>
      <c r="BA295" s="639"/>
      <c r="BB295" s="640"/>
      <c r="BC295" s="640"/>
      <c r="BD295" s="644"/>
      <c r="BE295" s="642"/>
      <c r="BF295" s="637"/>
      <c r="BG295" s="637"/>
      <c r="BH295" s="638"/>
      <c r="BI295" s="639"/>
      <c r="BJ295" s="640"/>
      <c r="BK295" s="640"/>
      <c r="BL295" s="641"/>
      <c r="BM295" s="642"/>
      <c r="BN295" s="637"/>
      <c r="BO295" s="637"/>
      <c r="BP295" s="643"/>
      <c r="BQ295" s="639"/>
      <c r="BR295" s="640"/>
      <c r="BS295" s="640"/>
      <c r="BT295" s="644"/>
      <c r="BU295" s="645"/>
      <c r="BV295" s="637"/>
      <c r="BW295" s="637"/>
      <c r="BX295" s="643"/>
      <c r="BY295" s="639"/>
      <c r="BZ295" s="640"/>
      <c r="CA295" s="640"/>
      <c r="CB295" s="644"/>
      <c r="CC295" s="642"/>
      <c r="CD295" s="637"/>
      <c r="CE295" s="637"/>
      <c r="CF295" s="643"/>
      <c r="CG295" s="639"/>
      <c r="CH295" s="640"/>
      <c r="CI295" s="640"/>
      <c r="CJ295" s="644"/>
      <c r="CK295" s="642"/>
      <c r="CL295" s="637"/>
      <c r="CM295" s="637"/>
      <c r="CN295" s="643"/>
      <c r="CO295" s="639"/>
      <c r="CP295" s="640"/>
      <c r="CQ295" s="640"/>
      <c r="CR295" s="644"/>
      <c r="CS295" s="642"/>
      <c r="CT295" s="637"/>
      <c r="CU295" s="637"/>
      <c r="CV295" s="643"/>
      <c r="CW295" s="639"/>
      <c r="CX295" s="640"/>
      <c r="CY295" s="640"/>
      <c r="CZ295" s="644"/>
      <c r="DA295" s="642"/>
      <c r="DB295" s="637"/>
      <c r="DC295" s="637"/>
      <c r="DD295" s="643"/>
    </row>
    <row r="296" spans="2:108" x14ac:dyDescent="0.2">
      <c r="B296" s="567"/>
      <c r="C296" s="567"/>
      <c r="D296" s="646"/>
      <c r="E296" s="646"/>
      <c r="F296" s="646"/>
      <c r="G296" s="646"/>
      <c r="H296" s="646"/>
    </row>
  </sheetData>
  <sheetProtection password="E40A" sheet="1" objects="1" scenarios="1"/>
  <mergeCells count="44">
    <mergeCell ref="CW6:CZ6"/>
    <mergeCell ref="DA6:DD6"/>
    <mergeCell ref="CC6:CF6"/>
    <mergeCell ref="CG6:CJ6"/>
    <mergeCell ref="CK6:CN6"/>
    <mergeCell ref="CO6:CR6"/>
    <mergeCell ref="CS6:CV6"/>
    <mergeCell ref="BI6:BL6"/>
    <mergeCell ref="BM6:BP6"/>
    <mergeCell ref="BQ6:BT6"/>
    <mergeCell ref="BU6:BX6"/>
    <mergeCell ref="BY6:CB6"/>
    <mergeCell ref="BE6:BH6"/>
    <mergeCell ref="AC6:AF6"/>
    <mergeCell ref="AG6:AJ6"/>
    <mergeCell ref="AK6:AN6"/>
    <mergeCell ref="AO6:AR6"/>
    <mergeCell ref="DA7:DD7"/>
    <mergeCell ref="BE7:BH7"/>
    <mergeCell ref="BI7:BL7"/>
    <mergeCell ref="BM7:BP7"/>
    <mergeCell ref="CG7:CJ7"/>
    <mergeCell ref="CK7:CN7"/>
    <mergeCell ref="CO7:CR7"/>
    <mergeCell ref="CS7:CV7"/>
    <mergeCell ref="CW7:CZ7"/>
    <mergeCell ref="BQ7:BT7"/>
    <mergeCell ref="BU7:BX7"/>
    <mergeCell ref="BY7:CB7"/>
    <mergeCell ref="CC7:CF7"/>
    <mergeCell ref="H6:H8"/>
    <mergeCell ref="B6:B8"/>
    <mergeCell ref="D6:G7"/>
    <mergeCell ref="AW7:AZ7"/>
    <mergeCell ref="BA7:BD7"/>
    <mergeCell ref="AC7:AF7"/>
    <mergeCell ref="C6:C8"/>
    <mergeCell ref="AG7:AJ7"/>
    <mergeCell ref="AK7:AN7"/>
    <mergeCell ref="AO7:AR7"/>
    <mergeCell ref="AS7:AV7"/>
    <mergeCell ref="AS6:AV6"/>
    <mergeCell ref="AW6:AZ6"/>
    <mergeCell ref="BA6:BD6"/>
  </mergeCells>
  <printOptions horizontalCentered="1"/>
  <pageMargins left="0.25" right="0.25" top="0.5" bottom="0.5" header="0.3" footer="0.3"/>
  <pageSetup paperSize="8204" scale="58" fitToWidth="2" orientation="landscape" r:id="rId1"/>
  <headerFooter>
    <oddFooter>&amp;LAECOM Technical Services, Inc.
Pocasset, MA&amp;RPage &amp;P of &amp;N
Revised: March 18, 2016</oddFooter>
  </headerFooter>
  <colBreaks count="1" manualBreakCount="1">
    <brk id="68" max="29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70</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14170</v>
      </c>
      <c r="F9" s="64">
        <f>+MROUND(C9*E9,100)</f>
        <v>14200</v>
      </c>
      <c r="G9" s="77" t="str">
        <f>CONCATENATE(Assumptions!C9*100,"%"," ","of Other Items")</f>
        <v>5% of Other Items</v>
      </c>
      <c r="S9" s="147"/>
    </row>
    <row r="10" spans="2:19" x14ac:dyDescent="0.2">
      <c r="B10" s="196" t="s">
        <v>113</v>
      </c>
      <c r="C10" s="197">
        <v>15</v>
      </c>
      <c r="D10" s="513" t="s">
        <v>56</v>
      </c>
      <c r="E10" s="198">
        <v>2500</v>
      </c>
      <c r="F10" s="54">
        <v>37500</v>
      </c>
      <c r="G10" s="99" t="s">
        <v>11</v>
      </c>
      <c r="S10" s="147"/>
    </row>
    <row r="11" spans="2:19" x14ac:dyDescent="0.2">
      <c r="B11" s="196" t="s">
        <v>114</v>
      </c>
      <c r="C11" s="197">
        <v>19</v>
      </c>
      <c r="D11" s="513" t="s">
        <v>56</v>
      </c>
      <c r="E11" s="198">
        <v>850</v>
      </c>
      <c r="F11" s="54">
        <v>16200</v>
      </c>
      <c r="G11" s="99" t="s">
        <v>11</v>
      </c>
      <c r="S11" s="147"/>
    </row>
    <row r="12" spans="2:19" x14ac:dyDescent="0.2">
      <c r="B12" s="196" t="s">
        <v>115</v>
      </c>
      <c r="C12" s="197">
        <v>1</v>
      </c>
      <c r="D12" s="513" t="s">
        <v>34</v>
      </c>
      <c r="E12" s="198">
        <v>5785</v>
      </c>
      <c r="F12" s="54">
        <v>5800</v>
      </c>
      <c r="G12" s="99" t="s">
        <v>11</v>
      </c>
      <c r="S12" s="147"/>
    </row>
    <row r="13" spans="2:19" x14ac:dyDescent="0.2">
      <c r="B13" s="196" t="s">
        <v>116</v>
      </c>
      <c r="C13" s="197">
        <v>550</v>
      </c>
      <c r="D13" s="513" t="s">
        <v>21</v>
      </c>
      <c r="E13" s="198">
        <v>31.581250000000001</v>
      </c>
      <c r="F13" s="54">
        <v>17400</v>
      </c>
      <c r="G13" s="99" t="s">
        <v>11</v>
      </c>
      <c r="S13" s="147"/>
    </row>
    <row r="14" spans="2:19" x14ac:dyDescent="0.2">
      <c r="B14" s="196" t="s">
        <v>117</v>
      </c>
      <c r="C14" s="197">
        <v>15600</v>
      </c>
      <c r="D14" s="513" t="s">
        <v>118</v>
      </c>
      <c r="E14" s="198">
        <v>11.25</v>
      </c>
      <c r="F14" s="54">
        <v>175500</v>
      </c>
      <c r="G14" s="99" t="s">
        <v>11</v>
      </c>
      <c r="S14" s="147"/>
    </row>
    <row r="15" spans="2:19" x14ac:dyDescent="0.2">
      <c r="B15" s="196" t="s">
        <v>119</v>
      </c>
      <c r="C15" s="197">
        <v>20</v>
      </c>
      <c r="D15" s="513" t="s">
        <v>75</v>
      </c>
      <c r="E15" s="198">
        <v>1265</v>
      </c>
      <c r="F15" s="54">
        <v>25300</v>
      </c>
      <c r="G15" s="99" t="s">
        <v>11</v>
      </c>
      <c r="S15" s="147"/>
    </row>
    <row r="16" spans="2:19" x14ac:dyDescent="0.2">
      <c r="B16" s="196" t="s">
        <v>120</v>
      </c>
      <c r="C16" s="197">
        <v>2</v>
      </c>
      <c r="D16" s="513" t="s">
        <v>75</v>
      </c>
      <c r="E16" s="198">
        <v>2865</v>
      </c>
      <c r="F16" s="54">
        <v>5700</v>
      </c>
      <c r="G16" s="99" t="s">
        <v>11</v>
      </c>
      <c r="S16" s="147"/>
    </row>
    <row r="17" spans="2:19" x14ac:dyDescent="0.2">
      <c r="B17" s="50" t="s">
        <v>11</v>
      </c>
      <c r="C17" s="51">
        <v>0</v>
      </c>
      <c r="D17" s="55"/>
      <c r="E17" s="56">
        <v>0</v>
      </c>
      <c r="F17" s="54">
        <f t="shared" ref="F17:F22" si="0">+MROUND(C17*E17,100)</f>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297600</v>
      </c>
      <c r="G24" s="98"/>
    </row>
    <row r="25" spans="2:19" x14ac:dyDescent="0.2">
      <c r="B25" s="72"/>
      <c r="D25" s="91" t="str">
        <f>Assumptions!B10</f>
        <v>Overhead and Profit</v>
      </c>
      <c r="E25" s="95">
        <f>Assumptions!C10</f>
        <v>0.22</v>
      </c>
      <c r="F25" s="67">
        <f>+MROUND(F24*E25,100)</f>
        <v>65500</v>
      </c>
      <c r="G25" s="77"/>
    </row>
    <row r="26" spans="2:19" x14ac:dyDescent="0.2">
      <c r="B26" s="72"/>
      <c r="D26" s="91" t="s">
        <v>3</v>
      </c>
      <c r="E26" s="66"/>
      <c r="F26" s="92">
        <f>F25+F24</f>
        <v>363100</v>
      </c>
      <c r="G26" s="77"/>
    </row>
    <row r="27" spans="2:19" x14ac:dyDescent="0.2">
      <c r="B27" s="72"/>
      <c r="D27" s="91" t="str">
        <f>Assumptions!B11</f>
        <v>Contingency</v>
      </c>
      <c r="E27" s="96">
        <f>Assumptions!C11</f>
        <v>0.25</v>
      </c>
      <c r="F27" s="64">
        <f>+MROUND((F26)*E27,100)</f>
        <v>90800</v>
      </c>
      <c r="G27" s="77"/>
    </row>
    <row r="28" spans="2:19" x14ac:dyDescent="0.2">
      <c r="B28" s="72"/>
      <c r="D28" s="91" t="s">
        <v>36</v>
      </c>
      <c r="E28" s="96"/>
      <c r="F28" s="93">
        <f>SUM(F26:F27)</f>
        <v>453900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22700</v>
      </c>
      <c r="G30" s="77"/>
    </row>
    <row r="31" spans="2:19" x14ac:dyDescent="0.2">
      <c r="B31" s="72"/>
      <c r="D31" s="91" t="str">
        <f>Assumptions!B14</f>
        <v>Engineering - Planning/Consultation</v>
      </c>
      <c r="E31" s="96">
        <f>Assumptions!C14</f>
        <v>0.05</v>
      </c>
      <c r="F31" s="64">
        <f t="shared" ref="F31:F33" si="2">+MROUND($F$28*E31,100)</f>
        <v>22700</v>
      </c>
      <c r="G31" s="77"/>
    </row>
    <row r="32" spans="2:19" x14ac:dyDescent="0.2">
      <c r="B32" s="72"/>
      <c r="D32" s="91" t="str">
        <f>Assumptions!B15</f>
        <v>Engineering - Design</v>
      </c>
      <c r="E32" s="96">
        <f>Assumptions!C15</f>
        <v>0.1</v>
      </c>
      <c r="F32" s="64">
        <f t="shared" si="2"/>
        <v>45400</v>
      </c>
      <c r="G32" s="77"/>
    </row>
    <row r="33" spans="2:7" x14ac:dyDescent="0.2">
      <c r="B33" s="72"/>
      <c r="D33" s="91" t="str">
        <f>Assumptions!B16</f>
        <v>Engineering - Construction</v>
      </c>
      <c r="E33" s="96">
        <f>Assumptions!C16</f>
        <v>0.15</v>
      </c>
      <c r="F33" s="64">
        <f t="shared" si="2"/>
        <v>68100</v>
      </c>
      <c r="G33" s="77"/>
    </row>
    <row r="34" spans="2:7" x14ac:dyDescent="0.2">
      <c r="B34" s="32"/>
      <c r="C34" s="63"/>
      <c r="D34" s="94" t="s">
        <v>19</v>
      </c>
      <c r="E34" s="68"/>
      <c r="F34" s="124">
        <f>SUM(F28:F33)</f>
        <v>612800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Permeable Reactive Barriers - Site 1</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201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Permeable Reactive Barriers - Site 1</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375</v>
      </c>
      <c r="F74" s="111">
        <f>+MROUND(C74*E74,100)</f>
        <v>400</v>
      </c>
      <c r="G74" s="112" t="str">
        <f>CONCATENATE(Assumptions!C33*100,"%"," ","of Other Items")</f>
        <v>5% of Other Items</v>
      </c>
    </row>
    <row r="75" spans="2:7" ht="38.25" x14ac:dyDescent="0.2">
      <c r="B75" s="50" t="s">
        <v>113</v>
      </c>
      <c r="C75" s="51">
        <v>3</v>
      </c>
      <c r="D75" s="55" t="s">
        <v>56</v>
      </c>
      <c r="E75" s="56">
        <v>2500</v>
      </c>
      <c r="F75" s="54">
        <v>7500</v>
      </c>
      <c r="G75" s="58" t="s">
        <v>200</v>
      </c>
    </row>
    <row r="76" spans="2:7" ht="25.5" x14ac:dyDescent="0.2">
      <c r="B76" s="50" t="s">
        <v>11</v>
      </c>
      <c r="C76" s="51">
        <v>0</v>
      </c>
      <c r="D76" s="55"/>
      <c r="E76" s="56">
        <v>0</v>
      </c>
      <c r="F76" s="54">
        <f t="shared" ref="F76:F83" si="4">+MROUND(C76*E76,100)</f>
        <v>0</v>
      </c>
      <c r="G76" s="99" t="s">
        <v>199</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7900</v>
      </c>
      <c r="G84" s="98"/>
    </row>
    <row r="85" spans="2:7" x14ac:dyDescent="0.2">
      <c r="B85" s="72"/>
      <c r="D85" s="91" t="str">
        <f>Assumptions!B34</f>
        <v>Overhead and Profit</v>
      </c>
      <c r="E85" s="95">
        <f>Assumptions!C34</f>
        <v>0.22</v>
      </c>
      <c r="F85" s="67">
        <f>+MROUND(F84*E85,100)</f>
        <v>1700</v>
      </c>
      <c r="G85" s="77"/>
    </row>
    <row r="86" spans="2:7" x14ac:dyDescent="0.2">
      <c r="B86" s="72"/>
      <c r="D86" s="91" t="s">
        <v>3</v>
      </c>
      <c r="E86" s="66"/>
      <c r="F86" s="92">
        <f>F85+F84</f>
        <v>9600</v>
      </c>
      <c r="G86" s="77"/>
    </row>
    <row r="87" spans="2:7" x14ac:dyDescent="0.2">
      <c r="B87" s="72"/>
      <c r="D87" s="91" t="str">
        <f>Assumptions!B35</f>
        <v>Contingency</v>
      </c>
      <c r="E87" s="96">
        <f>Assumptions!C35</f>
        <v>0.3</v>
      </c>
      <c r="F87" s="64">
        <f>+MROUND((F86)*E87,100)</f>
        <v>2900</v>
      </c>
      <c r="G87" s="77"/>
    </row>
    <row r="88" spans="2:7" x14ac:dyDescent="0.2">
      <c r="B88" s="72"/>
      <c r="D88" s="91" t="s">
        <v>36</v>
      </c>
      <c r="E88" s="66"/>
      <c r="F88" s="93">
        <f>SUM(F86:F87)</f>
        <v>12500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400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1300</v>
      </c>
      <c r="G92" s="77"/>
    </row>
    <row r="93" spans="2:7" x14ac:dyDescent="0.2">
      <c r="B93" s="72"/>
      <c r="D93" s="91" t="str">
        <f>Assumptions!B40</f>
        <v>Engineering - Construction</v>
      </c>
      <c r="E93" s="96">
        <f>Assumptions!C40</f>
        <v>0.15</v>
      </c>
      <c r="F93" s="64">
        <f>+MROUND($F$88*E93,100)</f>
        <v>1900</v>
      </c>
      <c r="G93" s="77"/>
    </row>
    <row r="94" spans="2:7" x14ac:dyDescent="0.2">
      <c r="B94" s="32"/>
      <c r="C94" s="63"/>
      <c r="D94" s="94" t="s">
        <v>58</v>
      </c>
      <c r="E94" s="68"/>
      <c r="F94" s="124">
        <f>SUM(F88:F93)</f>
        <v>16100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Permeable Reactive Barriers - Site 1</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128</v>
      </c>
      <c r="C105" s="51">
        <v>19</v>
      </c>
      <c r="D105" s="55" t="s">
        <v>56</v>
      </c>
      <c r="E105" s="56">
        <v>3400</v>
      </c>
      <c r="F105" s="54">
        <f>+MROUND(C105*E105,100)</f>
        <v>64600</v>
      </c>
      <c r="G105" s="99" t="s">
        <v>11</v>
      </c>
    </row>
    <row r="106" spans="2:7" x14ac:dyDescent="0.2">
      <c r="B106" s="50" t="s">
        <v>129</v>
      </c>
      <c r="C106" s="51">
        <v>120</v>
      </c>
      <c r="D106" s="55" t="s">
        <v>47</v>
      </c>
      <c r="E106" s="56">
        <v>130</v>
      </c>
      <c r="F106" s="54">
        <f t="shared" ref="F106:F114" si="5">+MROUND(C106*E106,100)</f>
        <v>15600</v>
      </c>
      <c r="G106" s="99" t="s">
        <v>11</v>
      </c>
    </row>
    <row r="107" spans="2:7" x14ac:dyDescent="0.2">
      <c r="B107" s="50" t="s">
        <v>130</v>
      </c>
      <c r="C107" s="51">
        <v>80</v>
      </c>
      <c r="D107" s="55" t="s">
        <v>47</v>
      </c>
      <c r="E107" s="56">
        <v>130</v>
      </c>
      <c r="F107" s="54">
        <f t="shared" si="5"/>
        <v>10400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90600</v>
      </c>
      <c r="G115" s="98"/>
    </row>
    <row r="116" spans="2:7" x14ac:dyDescent="0.2">
      <c r="B116" s="72"/>
      <c r="D116" s="91" t="str">
        <f>Assumptions!B45</f>
        <v>Contingency</v>
      </c>
      <c r="E116" s="95">
        <f>Assumptions!C45</f>
        <v>0.1</v>
      </c>
      <c r="F116" s="64">
        <f>+MROUND((F115)*E116,100)</f>
        <v>9100</v>
      </c>
      <c r="G116" s="77"/>
    </row>
    <row r="117" spans="2:7" x14ac:dyDescent="0.2">
      <c r="B117" s="72"/>
      <c r="D117" s="91" t="s">
        <v>3</v>
      </c>
      <c r="E117" s="66"/>
      <c r="F117" s="93">
        <f>SUM(F115:F116)</f>
        <v>99700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5000</v>
      </c>
      <c r="G119" s="77"/>
    </row>
    <row r="120" spans="2:7" x14ac:dyDescent="0.2">
      <c r="B120" s="72"/>
      <c r="D120" s="91" t="str">
        <f>Assumptions!B48</f>
        <v>Engineering - Planning/Consultation</v>
      </c>
      <c r="E120" s="96">
        <f>Assumptions!C48</f>
        <v>0.03</v>
      </c>
      <c r="F120" s="64">
        <f>+MROUND($F$117*E120,100)</f>
        <v>3000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107700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Units!$B$7:$B$22</xm:f>
          </x14:formula1>
          <xm:sqref>D45:D54 D75:D83 D105:D114 D17:D23</xm:sqref>
        </x14:dataValidation>
        <x14:dataValidation type="list" allowBlank="1" showInputMessage="1" showErrorMessage="1">
          <x14:formula1>
            <xm:f>[2]Units!#REF!</xm:f>
          </x14:formula1>
          <xm:sqref>D10:D16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71</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73620</v>
      </c>
      <c r="F9" s="64">
        <f>+MROUND(C9*E9,100)</f>
        <v>73600</v>
      </c>
      <c r="G9" s="77" t="str">
        <f>CONCATENATE(Assumptions!C9*100,"%"," ","of Other Items")</f>
        <v>5% of Other Items</v>
      </c>
      <c r="S9" s="147"/>
    </row>
    <row r="10" spans="2:19" x14ac:dyDescent="0.2">
      <c r="B10" s="196" t="s">
        <v>113</v>
      </c>
      <c r="C10" s="197">
        <v>99</v>
      </c>
      <c r="D10" s="513" t="s">
        <v>56</v>
      </c>
      <c r="E10" s="198">
        <v>2500</v>
      </c>
      <c r="F10" s="54">
        <v>247500</v>
      </c>
      <c r="G10" s="99" t="s">
        <v>11</v>
      </c>
      <c r="S10" s="147"/>
    </row>
    <row r="11" spans="2:19" x14ac:dyDescent="0.2">
      <c r="B11" s="196" t="s">
        <v>114</v>
      </c>
      <c r="C11" s="197">
        <v>105</v>
      </c>
      <c r="D11" s="513" t="s">
        <v>56</v>
      </c>
      <c r="E11" s="198">
        <v>850</v>
      </c>
      <c r="F11" s="54">
        <v>89300</v>
      </c>
      <c r="G11" s="99" t="s">
        <v>11</v>
      </c>
      <c r="S11" s="147"/>
    </row>
    <row r="12" spans="2:19" x14ac:dyDescent="0.2">
      <c r="B12" s="196" t="s">
        <v>115</v>
      </c>
      <c r="C12" s="197">
        <v>1</v>
      </c>
      <c r="D12" s="513" t="s">
        <v>34</v>
      </c>
      <c r="E12" s="198">
        <v>5785</v>
      </c>
      <c r="F12" s="54">
        <v>5800</v>
      </c>
      <c r="G12" s="99" t="s">
        <v>11</v>
      </c>
      <c r="S12" s="147"/>
    </row>
    <row r="13" spans="2:19" x14ac:dyDescent="0.2">
      <c r="B13" s="196" t="s">
        <v>116</v>
      </c>
      <c r="C13" s="197">
        <v>3500</v>
      </c>
      <c r="D13" s="513" t="s">
        <v>21</v>
      </c>
      <c r="E13" s="198">
        <v>31.581250000000001</v>
      </c>
      <c r="F13" s="54">
        <v>110500</v>
      </c>
      <c r="G13" s="99" t="s">
        <v>11</v>
      </c>
      <c r="S13" s="147"/>
    </row>
    <row r="14" spans="2:19" x14ac:dyDescent="0.2">
      <c r="B14" s="196" t="s">
        <v>117</v>
      </c>
      <c r="C14" s="197">
        <v>85800</v>
      </c>
      <c r="D14" s="513" t="s">
        <v>118</v>
      </c>
      <c r="E14" s="198">
        <v>11.25</v>
      </c>
      <c r="F14" s="54">
        <v>965300</v>
      </c>
      <c r="G14" s="99" t="s">
        <v>11</v>
      </c>
      <c r="S14" s="147"/>
    </row>
    <row r="15" spans="2:19" x14ac:dyDescent="0.2">
      <c r="B15" s="196" t="s">
        <v>119</v>
      </c>
      <c r="C15" s="197">
        <v>20</v>
      </c>
      <c r="D15" s="513" t="s">
        <v>75</v>
      </c>
      <c r="E15" s="198">
        <v>1265</v>
      </c>
      <c r="F15" s="54">
        <v>25300</v>
      </c>
      <c r="G15" s="99" t="s">
        <v>11</v>
      </c>
      <c r="S15" s="147"/>
    </row>
    <row r="16" spans="2:19" x14ac:dyDescent="0.2">
      <c r="B16" s="196" t="s">
        <v>120</v>
      </c>
      <c r="C16" s="197">
        <v>10</v>
      </c>
      <c r="D16" s="513" t="s">
        <v>75</v>
      </c>
      <c r="E16" s="198">
        <v>2865</v>
      </c>
      <c r="F16" s="54">
        <v>28700</v>
      </c>
      <c r="G16" s="99" t="s">
        <v>11</v>
      </c>
      <c r="S16" s="147"/>
    </row>
    <row r="17" spans="2:19" x14ac:dyDescent="0.2">
      <c r="B17" s="50" t="s">
        <v>11</v>
      </c>
      <c r="C17" s="51">
        <v>0</v>
      </c>
      <c r="D17" s="55"/>
      <c r="E17" s="56">
        <v>0</v>
      </c>
      <c r="F17" s="54">
        <f t="shared" ref="F17:F22" si="0">+MROUND(C17*E17,100)</f>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1546000</v>
      </c>
      <c r="G24" s="98"/>
    </row>
    <row r="25" spans="2:19" x14ac:dyDescent="0.2">
      <c r="B25" s="72"/>
      <c r="D25" s="91" t="str">
        <f>Assumptions!B10</f>
        <v>Overhead and Profit</v>
      </c>
      <c r="E25" s="95">
        <f>Assumptions!C10</f>
        <v>0.22</v>
      </c>
      <c r="F25" s="67">
        <f>+MROUND(F24*E25,100)</f>
        <v>340100</v>
      </c>
      <c r="G25" s="77"/>
    </row>
    <row r="26" spans="2:19" x14ac:dyDescent="0.2">
      <c r="B26" s="72"/>
      <c r="D26" s="91" t="s">
        <v>3</v>
      </c>
      <c r="E26" s="66"/>
      <c r="F26" s="92">
        <f>F25+F24</f>
        <v>1886100</v>
      </c>
      <c r="G26" s="77"/>
    </row>
    <row r="27" spans="2:19" x14ac:dyDescent="0.2">
      <c r="B27" s="72"/>
      <c r="D27" s="91" t="str">
        <f>Assumptions!B11</f>
        <v>Contingency</v>
      </c>
      <c r="E27" s="96">
        <f>Assumptions!C11</f>
        <v>0.25</v>
      </c>
      <c r="F27" s="64">
        <f>+MROUND((F26)*E27,100)</f>
        <v>471500</v>
      </c>
      <c r="G27" s="77"/>
    </row>
    <row r="28" spans="2:19" x14ac:dyDescent="0.2">
      <c r="B28" s="72"/>
      <c r="D28" s="91" t="s">
        <v>36</v>
      </c>
      <c r="E28" s="96"/>
      <c r="F28" s="93">
        <f>SUM(F26:F27)</f>
        <v>2357600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117900</v>
      </c>
      <c r="G30" s="77"/>
    </row>
    <row r="31" spans="2:19" x14ac:dyDescent="0.2">
      <c r="B31" s="72"/>
      <c r="D31" s="91" t="str">
        <f>Assumptions!B14</f>
        <v>Engineering - Planning/Consultation</v>
      </c>
      <c r="E31" s="96">
        <f>Assumptions!C14</f>
        <v>0.05</v>
      </c>
      <c r="F31" s="64">
        <f t="shared" ref="F31:F33" si="2">+MROUND($F$28*E31,100)</f>
        <v>117900</v>
      </c>
      <c r="G31" s="77"/>
    </row>
    <row r="32" spans="2:19" x14ac:dyDescent="0.2">
      <c r="B32" s="72"/>
      <c r="D32" s="91" t="str">
        <f>Assumptions!B15</f>
        <v>Engineering - Design</v>
      </c>
      <c r="E32" s="96">
        <f>Assumptions!C15</f>
        <v>0.1</v>
      </c>
      <c r="F32" s="64">
        <f t="shared" si="2"/>
        <v>235800</v>
      </c>
      <c r="G32" s="77"/>
    </row>
    <row r="33" spans="2:7" x14ac:dyDescent="0.2">
      <c r="B33" s="72"/>
      <c r="D33" s="91" t="str">
        <f>Assumptions!B16</f>
        <v>Engineering - Construction</v>
      </c>
      <c r="E33" s="96">
        <f>Assumptions!C16</f>
        <v>0.15</v>
      </c>
      <c r="F33" s="64">
        <f t="shared" si="2"/>
        <v>353600</v>
      </c>
      <c r="G33" s="77"/>
    </row>
    <row r="34" spans="2:7" x14ac:dyDescent="0.2">
      <c r="B34" s="32"/>
      <c r="C34" s="63"/>
      <c r="D34" s="94" t="s">
        <v>19</v>
      </c>
      <c r="E34" s="68"/>
      <c r="F34" s="124">
        <f>SUM(F28:F33)</f>
        <v>3182800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Permeable Reactive Barriers - Site 2</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201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Permeable Reactive Barriers - Site 2</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2000</v>
      </c>
      <c r="F74" s="111">
        <f>+MROUND(C74*E74,100)</f>
        <v>2000</v>
      </c>
      <c r="G74" s="112" t="str">
        <f>CONCATENATE(Assumptions!C33*100,"%"," ","of Other Items")</f>
        <v>5% of Other Items</v>
      </c>
    </row>
    <row r="75" spans="2:7" ht="38.25" x14ac:dyDescent="0.2">
      <c r="B75" s="50" t="s">
        <v>113</v>
      </c>
      <c r="C75" s="51">
        <v>16</v>
      </c>
      <c r="D75" s="55" t="s">
        <v>56</v>
      </c>
      <c r="E75" s="56">
        <v>2500</v>
      </c>
      <c r="F75" s="54">
        <f t="shared" ref="F75:F78" si="4">+MROUND(C75*E75,100)</f>
        <v>40000</v>
      </c>
      <c r="G75" s="58" t="s">
        <v>132</v>
      </c>
    </row>
    <row r="76" spans="2:7" x14ac:dyDescent="0.2">
      <c r="B76" s="50" t="s">
        <v>11</v>
      </c>
      <c r="C76" s="51">
        <v>0</v>
      </c>
      <c r="D76" s="55"/>
      <c r="E76" s="56">
        <v>0</v>
      </c>
      <c r="F76" s="54">
        <f t="shared" si="4"/>
        <v>0</v>
      </c>
      <c r="G76" s="58" t="s">
        <v>11</v>
      </c>
    </row>
    <row r="77" spans="2:7" x14ac:dyDescent="0.2">
      <c r="B77" s="50" t="s">
        <v>11</v>
      </c>
      <c r="C77" s="51">
        <v>0</v>
      </c>
      <c r="D77" s="55"/>
      <c r="E77" s="56">
        <v>0</v>
      </c>
      <c r="F77" s="54">
        <f t="shared" si="4"/>
        <v>0</v>
      </c>
      <c r="G77" s="58" t="s">
        <v>11</v>
      </c>
    </row>
    <row r="78" spans="2:7" ht="25.5" x14ac:dyDescent="0.2">
      <c r="B78" s="50" t="s">
        <v>11</v>
      </c>
      <c r="C78" s="51">
        <v>0</v>
      </c>
      <c r="D78" s="55"/>
      <c r="E78" s="56">
        <v>0</v>
      </c>
      <c r="F78" s="54">
        <f t="shared" si="4"/>
        <v>0</v>
      </c>
      <c r="G78" s="58" t="s">
        <v>479</v>
      </c>
    </row>
    <row r="79" spans="2:7" x14ac:dyDescent="0.2">
      <c r="B79" s="50" t="s">
        <v>11</v>
      </c>
      <c r="C79" s="51">
        <v>0</v>
      </c>
      <c r="D79" s="55"/>
      <c r="E79" s="56">
        <v>0</v>
      </c>
      <c r="F79" s="54">
        <f t="shared" ref="F79:F83" si="5">+MROUND(C79*E79,100)</f>
        <v>0</v>
      </c>
      <c r="G79" s="99" t="s">
        <v>11</v>
      </c>
    </row>
    <row r="80" spans="2:7" x14ac:dyDescent="0.2">
      <c r="B80" s="50" t="s">
        <v>11</v>
      </c>
      <c r="C80" s="51">
        <v>0</v>
      </c>
      <c r="D80" s="55"/>
      <c r="E80" s="56">
        <v>0</v>
      </c>
      <c r="F80" s="54">
        <f t="shared" si="5"/>
        <v>0</v>
      </c>
      <c r="G80" s="99" t="s">
        <v>11</v>
      </c>
    </row>
    <row r="81" spans="2:7" x14ac:dyDescent="0.2">
      <c r="B81" s="50" t="s">
        <v>11</v>
      </c>
      <c r="C81" s="51">
        <v>0</v>
      </c>
      <c r="D81" s="55"/>
      <c r="E81" s="56">
        <v>0</v>
      </c>
      <c r="F81" s="54">
        <f t="shared" si="5"/>
        <v>0</v>
      </c>
      <c r="G81" s="99" t="s">
        <v>11</v>
      </c>
    </row>
    <row r="82" spans="2:7" x14ac:dyDescent="0.2">
      <c r="B82" s="50" t="s">
        <v>11</v>
      </c>
      <c r="C82" s="51">
        <v>0</v>
      </c>
      <c r="D82" s="55"/>
      <c r="E82" s="56">
        <v>0</v>
      </c>
      <c r="F82" s="54">
        <f t="shared" si="5"/>
        <v>0</v>
      </c>
      <c r="G82" s="99" t="s">
        <v>11</v>
      </c>
    </row>
    <row r="83" spans="2:7" x14ac:dyDescent="0.2">
      <c r="B83" s="50" t="s">
        <v>11</v>
      </c>
      <c r="C83" s="51">
        <v>0</v>
      </c>
      <c r="D83" s="55"/>
      <c r="E83" s="56">
        <v>0</v>
      </c>
      <c r="F83" s="54">
        <f t="shared" si="5"/>
        <v>0</v>
      </c>
      <c r="G83" s="99" t="s">
        <v>11</v>
      </c>
    </row>
    <row r="84" spans="2:7" x14ac:dyDescent="0.2">
      <c r="B84" s="72"/>
      <c r="C84" s="63"/>
      <c r="D84" s="90" t="s">
        <v>3</v>
      </c>
      <c r="E84" s="68"/>
      <c r="F84" s="93">
        <f>SUM(F74:F83)</f>
        <v>42000</v>
      </c>
      <c r="G84" s="98"/>
    </row>
    <row r="85" spans="2:7" x14ac:dyDescent="0.2">
      <c r="B85" s="72"/>
      <c r="D85" s="91" t="str">
        <f>Assumptions!B34</f>
        <v>Overhead and Profit</v>
      </c>
      <c r="E85" s="95">
        <f>Assumptions!C34</f>
        <v>0.22</v>
      </c>
      <c r="F85" s="67">
        <f>+MROUND(F84*E85,100)</f>
        <v>9200</v>
      </c>
      <c r="G85" s="77"/>
    </row>
    <row r="86" spans="2:7" x14ac:dyDescent="0.2">
      <c r="B86" s="72"/>
      <c r="D86" s="91" t="s">
        <v>3</v>
      </c>
      <c r="E86" s="66"/>
      <c r="F86" s="92">
        <f>F85+F84</f>
        <v>51200</v>
      </c>
      <c r="G86" s="77"/>
    </row>
    <row r="87" spans="2:7" x14ac:dyDescent="0.2">
      <c r="B87" s="72"/>
      <c r="D87" s="91" t="str">
        <f>Assumptions!B35</f>
        <v>Contingency</v>
      </c>
      <c r="E87" s="96">
        <f>Assumptions!C35</f>
        <v>0.3</v>
      </c>
      <c r="F87" s="64">
        <f>+MROUND((F86)*E87,100)</f>
        <v>15400</v>
      </c>
      <c r="G87" s="77"/>
    </row>
    <row r="88" spans="2:7" x14ac:dyDescent="0.2">
      <c r="B88" s="72"/>
      <c r="D88" s="91" t="s">
        <v>36</v>
      </c>
      <c r="E88" s="66"/>
      <c r="F88" s="93">
        <f>SUM(F86:F87)</f>
        <v>66600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2000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6700</v>
      </c>
      <c r="G92" s="77"/>
    </row>
    <row r="93" spans="2:7" x14ac:dyDescent="0.2">
      <c r="B93" s="72"/>
      <c r="D93" s="91" t="str">
        <f>Assumptions!B40</f>
        <v>Engineering - Construction</v>
      </c>
      <c r="E93" s="96">
        <f>Assumptions!C40</f>
        <v>0.15</v>
      </c>
      <c r="F93" s="64">
        <f>+MROUND($F$88*E93,100)</f>
        <v>10000</v>
      </c>
      <c r="G93" s="77"/>
    </row>
    <row r="94" spans="2:7" x14ac:dyDescent="0.2">
      <c r="B94" s="32"/>
      <c r="C94" s="63"/>
      <c r="D94" s="94" t="s">
        <v>58</v>
      </c>
      <c r="E94" s="68"/>
      <c r="F94" s="124">
        <f>SUM(F88:F93)</f>
        <v>85300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Permeable Reactive Barriers - Site 2</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128</v>
      </c>
      <c r="C105" s="51">
        <v>105</v>
      </c>
      <c r="D105" s="55" t="s">
        <v>56</v>
      </c>
      <c r="E105" s="56">
        <v>3400</v>
      </c>
      <c r="F105" s="54">
        <v>357000</v>
      </c>
      <c r="G105" s="58"/>
    </row>
    <row r="106" spans="2:7" x14ac:dyDescent="0.2">
      <c r="B106" s="50" t="s">
        <v>129</v>
      </c>
      <c r="C106" s="51">
        <v>120</v>
      </c>
      <c r="D106" s="55" t="s">
        <v>47</v>
      </c>
      <c r="E106" s="56">
        <v>130</v>
      </c>
      <c r="F106" s="54">
        <v>15600</v>
      </c>
      <c r="G106" s="99"/>
    </row>
    <row r="107" spans="2:7" x14ac:dyDescent="0.2">
      <c r="B107" s="50" t="s">
        <v>130</v>
      </c>
      <c r="C107" s="51">
        <v>80</v>
      </c>
      <c r="D107" s="55" t="s">
        <v>47</v>
      </c>
      <c r="E107" s="56">
        <v>130</v>
      </c>
      <c r="F107" s="54">
        <v>10400</v>
      </c>
      <c r="G107" s="99" t="s">
        <v>11</v>
      </c>
    </row>
    <row r="108" spans="2:7" x14ac:dyDescent="0.2">
      <c r="B108" s="50" t="s">
        <v>11</v>
      </c>
      <c r="C108" s="51">
        <v>0</v>
      </c>
      <c r="D108" s="55"/>
      <c r="E108" s="56">
        <v>0</v>
      </c>
      <c r="F108" s="54">
        <f t="shared" ref="F108:F114" si="6">+MROUND(C108*E108,100)</f>
        <v>0</v>
      </c>
      <c r="G108" s="99" t="s">
        <v>11</v>
      </c>
    </row>
    <row r="109" spans="2:7" x14ac:dyDescent="0.2">
      <c r="B109" s="50" t="s">
        <v>11</v>
      </c>
      <c r="C109" s="51">
        <v>0</v>
      </c>
      <c r="D109" s="55"/>
      <c r="E109" s="56">
        <v>0</v>
      </c>
      <c r="F109" s="54">
        <f t="shared" si="6"/>
        <v>0</v>
      </c>
      <c r="G109" s="99" t="s">
        <v>11</v>
      </c>
    </row>
    <row r="110" spans="2:7" x14ac:dyDescent="0.2">
      <c r="B110" s="50" t="s">
        <v>11</v>
      </c>
      <c r="C110" s="51">
        <v>0</v>
      </c>
      <c r="D110" s="55"/>
      <c r="E110" s="56">
        <v>0</v>
      </c>
      <c r="F110" s="54">
        <f t="shared" si="6"/>
        <v>0</v>
      </c>
      <c r="G110" s="99" t="s">
        <v>11</v>
      </c>
    </row>
    <row r="111" spans="2:7" x14ac:dyDescent="0.2">
      <c r="B111" s="50" t="s">
        <v>11</v>
      </c>
      <c r="C111" s="51">
        <v>0</v>
      </c>
      <c r="D111" s="55"/>
      <c r="E111" s="56">
        <v>0</v>
      </c>
      <c r="F111" s="54">
        <f t="shared" si="6"/>
        <v>0</v>
      </c>
      <c r="G111" s="99" t="s">
        <v>11</v>
      </c>
    </row>
    <row r="112" spans="2:7" x14ac:dyDescent="0.2">
      <c r="B112" s="50" t="s">
        <v>11</v>
      </c>
      <c r="C112" s="51">
        <v>0</v>
      </c>
      <c r="D112" s="55"/>
      <c r="E112" s="56">
        <v>0</v>
      </c>
      <c r="F112" s="54">
        <f t="shared" si="6"/>
        <v>0</v>
      </c>
      <c r="G112" s="99" t="s">
        <v>11</v>
      </c>
    </row>
    <row r="113" spans="2:7" x14ac:dyDescent="0.2">
      <c r="B113" s="50" t="s">
        <v>11</v>
      </c>
      <c r="C113" s="51">
        <v>0</v>
      </c>
      <c r="D113" s="55"/>
      <c r="E113" s="56">
        <v>0</v>
      </c>
      <c r="F113" s="54">
        <f t="shared" si="6"/>
        <v>0</v>
      </c>
      <c r="G113" s="99" t="s">
        <v>11</v>
      </c>
    </row>
    <row r="114" spans="2:7" x14ac:dyDescent="0.2">
      <c r="B114" s="50" t="s">
        <v>11</v>
      </c>
      <c r="C114" s="51">
        <v>0</v>
      </c>
      <c r="D114" s="55"/>
      <c r="E114" s="56">
        <v>0</v>
      </c>
      <c r="F114" s="54">
        <f t="shared" si="6"/>
        <v>0</v>
      </c>
      <c r="G114" s="99" t="s">
        <v>11</v>
      </c>
    </row>
    <row r="115" spans="2:7" x14ac:dyDescent="0.2">
      <c r="B115" s="72"/>
      <c r="C115" s="63"/>
      <c r="D115" s="90" t="s">
        <v>3</v>
      </c>
      <c r="E115" s="68"/>
      <c r="F115" s="93">
        <f>SUM(F105:F114)</f>
        <v>383000</v>
      </c>
      <c r="G115" s="98"/>
    </row>
    <row r="116" spans="2:7" x14ac:dyDescent="0.2">
      <c r="B116" s="72"/>
      <c r="D116" s="91" t="str">
        <f>Assumptions!B45</f>
        <v>Contingency</v>
      </c>
      <c r="E116" s="95">
        <f>Assumptions!C45</f>
        <v>0.1</v>
      </c>
      <c r="F116" s="64">
        <f>+MROUND((F115)*E116,100)</f>
        <v>38300</v>
      </c>
      <c r="G116" s="77"/>
    </row>
    <row r="117" spans="2:7" x14ac:dyDescent="0.2">
      <c r="B117" s="72"/>
      <c r="D117" s="91" t="s">
        <v>3</v>
      </c>
      <c r="E117" s="66"/>
      <c r="F117" s="93">
        <f>SUM(F115:F116)</f>
        <v>421300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21100</v>
      </c>
      <c r="G119" s="77"/>
    </row>
    <row r="120" spans="2:7" x14ac:dyDescent="0.2">
      <c r="B120" s="72"/>
      <c r="D120" s="91" t="str">
        <f>Assumptions!B48</f>
        <v>Engineering - Planning/Consultation</v>
      </c>
      <c r="E120" s="96">
        <f>Assumptions!C48</f>
        <v>0.03</v>
      </c>
      <c r="F120" s="64">
        <f>+MROUND($F$117*E120,100)</f>
        <v>12600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455000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Units!$B$7:$B$22</xm:f>
          </x14:formula1>
          <xm:sqref>D45:D54 D17:D23 D105:D114 D79:D83</xm:sqref>
        </x14:dataValidation>
        <x14:dataValidation type="list" allowBlank="1" showInputMessage="1" showErrorMessage="1">
          <x14:formula1>
            <xm:f>[2]Units!#REF!</xm:f>
          </x14:formula1>
          <xm:sqref>D10:D16 D75:D78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S140"/>
  <sheetViews>
    <sheetView topLeftCell="A34"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72</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t="s">
        <v>11</v>
      </c>
      <c r="C10" s="51">
        <v>0</v>
      </c>
      <c r="D10" s="55"/>
      <c r="E10" s="56">
        <v>0</v>
      </c>
      <c r="F10" s="54">
        <f t="shared" ref="F10:F22" si="0">+MROUND(C10*E10,100)</f>
        <v>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f t="shared" ref="F31:F33" si="2">+MROUND($F$28*E31,100)</f>
        <v>0</v>
      </c>
      <c r="G31" s="77"/>
    </row>
    <row r="32" spans="2:19" x14ac:dyDescent="0.2">
      <c r="B32" s="72"/>
      <c r="D32" s="91" t="str">
        <f>Assumptions!B15</f>
        <v>Engineering - Design</v>
      </c>
      <c r="E32" s="96">
        <f>Assumptions!C15</f>
        <v>0.1</v>
      </c>
      <c r="F32" s="64">
        <f t="shared" si="2"/>
        <v>0</v>
      </c>
      <c r="G32" s="77"/>
    </row>
    <row r="33" spans="2:7" x14ac:dyDescent="0.2">
      <c r="B33" s="72"/>
      <c r="D33" s="91" t="str">
        <f>Assumptions!B16</f>
        <v>Engineering - Construction</v>
      </c>
      <c r="E33" s="96">
        <f>Assumptions!C16</f>
        <v>0.15</v>
      </c>
      <c r="F33" s="64">
        <f t="shared" si="2"/>
        <v>0</v>
      </c>
      <c r="G33" s="77"/>
    </row>
    <row r="34" spans="2:7" x14ac:dyDescent="0.2">
      <c r="B34" s="32"/>
      <c r="C34" s="63"/>
      <c r="D34" s="94" t="s">
        <v>19</v>
      </c>
      <c r="E34" s="68"/>
      <c r="F34" s="124">
        <f>SUM(F28:F33)</f>
        <v>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Permeable Reactive Barriers - Site 3</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Permeable Reactive Barriers - Site 3</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Permeable Reactive Barriers - Site 3</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c r="E105" s="56">
        <v>0</v>
      </c>
      <c r="F105" s="54">
        <f>+MROUND(C105*E105,100)</f>
        <v>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D75:D83 D105:D114 D10:D23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S140"/>
  <sheetViews>
    <sheetView topLeftCell="A25"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73</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t="s">
        <v>11</v>
      </c>
      <c r="C10" s="51">
        <v>0</v>
      </c>
      <c r="D10" s="55"/>
      <c r="E10" s="56">
        <v>0</v>
      </c>
      <c r="F10" s="54">
        <f t="shared" ref="F10:F22" si="0">+MROUND(C10*E10,100)</f>
        <v>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f t="shared" ref="F31:F33" si="2">+MROUND($F$28*E31,100)</f>
        <v>0</v>
      </c>
      <c r="G31" s="77"/>
    </row>
    <row r="32" spans="2:19" x14ac:dyDescent="0.2">
      <c r="B32" s="72"/>
      <c r="D32" s="91" t="str">
        <f>Assumptions!B15</f>
        <v>Engineering - Design</v>
      </c>
      <c r="E32" s="96">
        <f>Assumptions!C15</f>
        <v>0.1</v>
      </c>
      <c r="F32" s="64">
        <f t="shared" si="2"/>
        <v>0</v>
      </c>
      <c r="G32" s="77"/>
    </row>
    <row r="33" spans="2:7" x14ac:dyDescent="0.2">
      <c r="B33" s="72"/>
      <c r="D33" s="91" t="str">
        <f>Assumptions!B16</f>
        <v>Engineering - Construction</v>
      </c>
      <c r="E33" s="96">
        <f>Assumptions!C16</f>
        <v>0.15</v>
      </c>
      <c r="F33" s="64">
        <f t="shared" si="2"/>
        <v>0</v>
      </c>
      <c r="G33" s="77"/>
    </row>
    <row r="34" spans="2:7" x14ac:dyDescent="0.2">
      <c r="B34" s="32"/>
      <c r="C34" s="63"/>
      <c r="D34" s="94" t="s">
        <v>19</v>
      </c>
      <c r="E34" s="68"/>
      <c r="F34" s="124">
        <f>SUM(F28:F33)</f>
        <v>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Permeable Reactive Barriers - Site 4</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Permeable Reactive Barriers - Site 4</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Permeable Reactive Barriers - Site 4</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c r="E105" s="56">
        <v>0</v>
      </c>
      <c r="F105" s="54">
        <f>+MROUND(C105*E105,100)</f>
        <v>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D75:D83 D105:D114 D10:D23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74</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0</v>
      </c>
      <c r="F9" s="64">
        <f>+MROUND(C9*E9,100)</f>
        <v>0</v>
      </c>
      <c r="G9" s="77" t="str">
        <f>CONCATENATE(Assumptions!C9*100,"%"," ","of Other Items")</f>
        <v>5% of Other Items</v>
      </c>
      <c r="S9" s="147"/>
    </row>
    <row r="10" spans="2:19" x14ac:dyDescent="0.2">
      <c r="B10" s="50" t="s">
        <v>11</v>
      </c>
      <c r="C10" s="51">
        <v>0</v>
      </c>
      <c r="D10" s="55"/>
      <c r="E10" s="56">
        <v>0</v>
      </c>
      <c r="F10" s="54">
        <f t="shared" ref="F10:F22" si="0">+MROUND(C10*E10,100)</f>
        <v>0</v>
      </c>
      <c r="G10" s="99" t="s">
        <v>11</v>
      </c>
      <c r="S10" s="147"/>
    </row>
    <row r="11" spans="2:19" x14ac:dyDescent="0.2">
      <c r="B11" s="50" t="s">
        <v>11</v>
      </c>
      <c r="C11" s="51">
        <v>0</v>
      </c>
      <c r="D11" s="55"/>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0</v>
      </c>
      <c r="G24" s="98"/>
    </row>
    <row r="25" spans="2:19" x14ac:dyDescent="0.2">
      <c r="B25" s="72"/>
      <c r="D25" s="91" t="str">
        <f>Assumptions!B10</f>
        <v>Overhead and Profit</v>
      </c>
      <c r="E25" s="95">
        <f>Assumptions!C10</f>
        <v>0.22</v>
      </c>
      <c r="F25" s="67">
        <f>+MROUND(F24*E25,100)</f>
        <v>0</v>
      </c>
      <c r="G25" s="77"/>
    </row>
    <row r="26" spans="2:19" x14ac:dyDescent="0.2">
      <c r="B26" s="72"/>
      <c r="D26" s="91" t="s">
        <v>3</v>
      </c>
      <c r="E26" s="66"/>
      <c r="F26" s="92">
        <f>F25+F24</f>
        <v>0</v>
      </c>
      <c r="G26" s="77"/>
    </row>
    <row r="27" spans="2:19" x14ac:dyDescent="0.2">
      <c r="B27" s="72"/>
      <c r="D27" s="91" t="str">
        <f>Assumptions!B11</f>
        <v>Contingency</v>
      </c>
      <c r="E27" s="96">
        <f>Assumptions!C11</f>
        <v>0.25</v>
      </c>
      <c r="F27" s="64">
        <f>+MROUND((F26)*E27,100)</f>
        <v>0</v>
      </c>
      <c r="G27" s="77"/>
    </row>
    <row r="28" spans="2:19" x14ac:dyDescent="0.2">
      <c r="B28" s="72"/>
      <c r="D28" s="91" t="s">
        <v>36</v>
      </c>
      <c r="E28" s="96"/>
      <c r="F28" s="93">
        <f>SUM(F26:F27)</f>
        <v>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0</v>
      </c>
      <c r="G30" s="77"/>
    </row>
    <row r="31" spans="2:19" x14ac:dyDescent="0.2">
      <c r="B31" s="72"/>
      <c r="D31" s="91" t="str">
        <f>Assumptions!B14</f>
        <v>Engineering - Planning/Consultation</v>
      </c>
      <c r="E31" s="96">
        <f>Assumptions!C14</f>
        <v>0.05</v>
      </c>
      <c r="F31" s="64">
        <f t="shared" ref="F31:F33" si="2">+MROUND($F$28*E31,100)</f>
        <v>0</v>
      </c>
      <c r="G31" s="77"/>
    </row>
    <row r="32" spans="2:19" x14ac:dyDescent="0.2">
      <c r="B32" s="72"/>
      <c r="D32" s="91" t="str">
        <f>Assumptions!B15</f>
        <v>Engineering - Design</v>
      </c>
      <c r="E32" s="96">
        <f>Assumptions!C15</f>
        <v>0.1</v>
      </c>
      <c r="F32" s="64">
        <f t="shared" si="2"/>
        <v>0</v>
      </c>
      <c r="G32" s="77"/>
    </row>
    <row r="33" spans="2:7" x14ac:dyDescent="0.2">
      <c r="B33" s="72"/>
      <c r="D33" s="91" t="str">
        <f>Assumptions!B16</f>
        <v>Engineering - Construction</v>
      </c>
      <c r="E33" s="96">
        <f>Assumptions!C16</f>
        <v>0.15</v>
      </c>
      <c r="F33" s="64">
        <f t="shared" si="2"/>
        <v>0</v>
      </c>
      <c r="G33" s="77"/>
    </row>
    <row r="34" spans="2:7" x14ac:dyDescent="0.2">
      <c r="B34" s="32"/>
      <c r="C34" s="63"/>
      <c r="D34" s="94" t="s">
        <v>19</v>
      </c>
      <c r="E34" s="68"/>
      <c r="F34" s="124">
        <f>SUM(F28:F33)</f>
        <v>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Permeable Reactive Barriers - Site 5</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11</v>
      </c>
      <c r="C45" s="51">
        <v>0</v>
      </c>
      <c r="D45" s="55"/>
      <c r="E45" s="56">
        <v>0</v>
      </c>
      <c r="F45" s="54">
        <f>+MROUND(C45*E45,100)</f>
        <v>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0</v>
      </c>
      <c r="G55" s="98"/>
    </row>
    <row r="56" spans="2:7" x14ac:dyDescent="0.2">
      <c r="B56" s="72"/>
      <c r="D56" s="91" t="str">
        <f>Assumptions!B21</f>
        <v>Contingency</v>
      </c>
      <c r="E56" s="95">
        <f>Assumptions!C21</f>
        <v>0.1</v>
      </c>
      <c r="F56" s="64">
        <f>+MROUND((F55)*E56,100)</f>
        <v>0</v>
      </c>
      <c r="G56" s="77"/>
    </row>
    <row r="57" spans="2:7" x14ac:dyDescent="0.2">
      <c r="B57" s="72"/>
      <c r="D57" s="91" t="s">
        <v>3</v>
      </c>
      <c r="E57" s="66"/>
      <c r="F57" s="93">
        <f>SUM(F55:F56)</f>
        <v>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Permeable Reactive Barriers - Site 5</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11</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Permeable Reactive Barriers - Site 5</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11</v>
      </c>
      <c r="C105" s="51">
        <v>0</v>
      </c>
      <c r="D105" s="55"/>
      <c r="E105" s="56">
        <v>0</v>
      </c>
      <c r="F105" s="54">
        <f>+MROUND(C105*E105,100)</f>
        <v>0</v>
      </c>
      <c r="G105" s="99" t="s">
        <v>11</v>
      </c>
    </row>
    <row r="106" spans="2:7" x14ac:dyDescent="0.2">
      <c r="B106" s="50" t="s">
        <v>11</v>
      </c>
      <c r="C106" s="51">
        <v>0</v>
      </c>
      <c r="D106" s="55"/>
      <c r="E106" s="56">
        <v>0</v>
      </c>
      <c r="F106" s="54">
        <f t="shared" ref="F106:F114" si="5">+MROUND(C106*E106,100)</f>
        <v>0</v>
      </c>
      <c r="G106" s="99" t="s">
        <v>11</v>
      </c>
    </row>
    <row r="107" spans="2:7" x14ac:dyDescent="0.2">
      <c r="B107" s="50" t="s">
        <v>11</v>
      </c>
      <c r="C107" s="51">
        <v>0</v>
      </c>
      <c r="D107" s="55"/>
      <c r="E107" s="56">
        <v>0</v>
      </c>
      <c r="F107" s="54">
        <f t="shared" si="5"/>
        <v>0</v>
      </c>
      <c r="G107" s="99" t="s">
        <v>11</v>
      </c>
    </row>
    <row r="108" spans="2:7" x14ac:dyDescent="0.2">
      <c r="B108" s="50" t="s">
        <v>11</v>
      </c>
      <c r="C108" s="51">
        <v>0</v>
      </c>
      <c r="D108" s="55"/>
      <c r="E108" s="56">
        <v>0</v>
      </c>
      <c r="F108" s="54">
        <f t="shared" si="5"/>
        <v>0</v>
      </c>
      <c r="G108" s="99" t="s">
        <v>11</v>
      </c>
    </row>
    <row r="109" spans="2:7" x14ac:dyDescent="0.2">
      <c r="B109" s="50" t="s">
        <v>11</v>
      </c>
      <c r="C109" s="51">
        <v>0</v>
      </c>
      <c r="D109" s="55"/>
      <c r="E109" s="56">
        <v>0</v>
      </c>
      <c r="F109" s="54">
        <f t="shared" si="5"/>
        <v>0</v>
      </c>
      <c r="G109" s="99" t="s">
        <v>11</v>
      </c>
    </row>
    <row r="110" spans="2:7" x14ac:dyDescent="0.2">
      <c r="B110" s="50" t="s">
        <v>11</v>
      </c>
      <c r="C110" s="51">
        <v>0</v>
      </c>
      <c r="D110" s="55"/>
      <c r="E110" s="56">
        <v>0</v>
      </c>
      <c r="F110" s="54">
        <f t="shared" si="5"/>
        <v>0</v>
      </c>
      <c r="G110" s="99" t="s">
        <v>11</v>
      </c>
    </row>
    <row r="111" spans="2:7" x14ac:dyDescent="0.2">
      <c r="B111" s="50" t="s">
        <v>11</v>
      </c>
      <c r="C111" s="51">
        <v>0</v>
      </c>
      <c r="D111" s="55"/>
      <c r="E111" s="56">
        <v>0</v>
      </c>
      <c r="F111" s="54">
        <f t="shared" si="5"/>
        <v>0</v>
      </c>
      <c r="G111" s="99" t="s">
        <v>11</v>
      </c>
    </row>
    <row r="112" spans="2:7" x14ac:dyDescent="0.2">
      <c r="B112" s="50" t="s">
        <v>11</v>
      </c>
      <c r="C112" s="51">
        <v>0</v>
      </c>
      <c r="D112" s="55"/>
      <c r="E112" s="56">
        <v>0</v>
      </c>
      <c r="F112" s="54">
        <f t="shared" si="5"/>
        <v>0</v>
      </c>
      <c r="G112" s="99" t="s">
        <v>11</v>
      </c>
    </row>
    <row r="113" spans="2:7" x14ac:dyDescent="0.2">
      <c r="B113" s="50" t="s">
        <v>11</v>
      </c>
      <c r="C113" s="51">
        <v>0</v>
      </c>
      <c r="D113" s="55"/>
      <c r="E113" s="56">
        <v>0</v>
      </c>
      <c r="F113" s="54">
        <f t="shared" si="5"/>
        <v>0</v>
      </c>
      <c r="G113" s="99" t="s">
        <v>11</v>
      </c>
    </row>
    <row r="114" spans="2:7" x14ac:dyDescent="0.2">
      <c r="B114" s="50" t="s">
        <v>11</v>
      </c>
      <c r="C114" s="51">
        <v>0</v>
      </c>
      <c r="D114" s="55"/>
      <c r="E114" s="56">
        <v>0</v>
      </c>
      <c r="F114" s="54">
        <f t="shared" si="5"/>
        <v>0</v>
      </c>
      <c r="G114" s="99" t="s">
        <v>11</v>
      </c>
    </row>
    <row r="115" spans="2:7" x14ac:dyDescent="0.2">
      <c r="B115" s="72"/>
      <c r="C115" s="63"/>
      <c r="D115" s="90" t="s">
        <v>3</v>
      </c>
      <c r="E115" s="68"/>
      <c r="F115" s="93">
        <f>SUM(F105:F114)</f>
        <v>0</v>
      </c>
      <c r="G115" s="98"/>
    </row>
    <row r="116" spans="2:7" x14ac:dyDescent="0.2">
      <c r="B116" s="72"/>
      <c r="D116" s="91" t="str">
        <f>Assumptions!B45</f>
        <v>Contingency</v>
      </c>
      <c r="E116" s="95">
        <f>Assumptions!C45</f>
        <v>0.1</v>
      </c>
      <c r="F116" s="64">
        <f>+MROUND((F115)*E116,100)</f>
        <v>0</v>
      </c>
      <c r="G116" s="77"/>
    </row>
    <row r="117" spans="2:7" x14ac:dyDescent="0.2">
      <c r="B117" s="72"/>
      <c r="D117" s="91" t="s">
        <v>3</v>
      </c>
      <c r="E117" s="66"/>
      <c r="F117" s="93">
        <f>SUM(F115:F116)</f>
        <v>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0</v>
      </c>
      <c r="G119" s="77"/>
    </row>
    <row r="120" spans="2:7" x14ac:dyDescent="0.2">
      <c r="B120" s="72"/>
      <c r="D120" s="91" t="str">
        <f>Assumptions!B48</f>
        <v>Engineering - Planning/Consultation</v>
      </c>
      <c r="E120" s="96">
        <f>Assumptions!C48</f>
        <v>0.03</v>
      </c>
      <c r="F120" s="64">
        <f>+MROUND($F$117*E120,100)</f>
        <v>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D45:D54 D75:D83 D105:D114 D10:D23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55"/>
  <sheetViews>
    <sheetView zoomScaleNormal="100" workbookViewId="0">
      <selection activeCell="C24" sqref="C24"/>
    </sheetView>
  </sheetViews>
  <sheetFormatPr defaultRowHeight="15" x14ac:dyDescent="0.25"/>
  <cols>
    <col min="1" max="1" width="2.7109375" style="129" customWidth="1"/>
    <col min="2" max="2" width="75.7109375" style="129" customWidth="1"/>
    <col min="3" max="3" width="15.7109375" style="129" customWidth="1"/>
    <col min="4" max="4" width="2.7109375" style="129" customWidth="1"/>
    <col min="5" max="211" width="9.140625" style="129"/>
    <col min="212" max="212" width="28.5703125" style="129" customWidth="1"/>
    <col min="213" max="213" width="14.28515625" style="129" bestFit="1" customWidth="1"/>
    <col min="214" max="467" width="9.140625" style="129"/>
    <col min="468" max="468" width="28.5703125" style="129" customWidth="1"/>
    <col min="469" max="469" width="14.28515625" style="129" bestFit="1" customWidth="1"/>
    <col min="470" max="723" width="9.140625" style="129"/>
    <col min="724" max="724" width="28.5703125" style="129" customWidth="1"/>
    <col min="725" max="725" width="14.28515625" style="129" bestFit="1" customWidth="1"/>
    <col min="726" max="979" width="9.140625" style="129"/>
    <col min="980" max="980" width="28.5703125" style="129" customWidth="1"/>
    <col min="981" max="981" width="14.28515625" style="129" bestFit="1" customWidth="1"/>
    <col min="982" max="1235" width="9.140625" style="129"/>
    <col min="1236" max="1236" width="28.5703125" style="129" customWidth="1"/>
    <col min="1237" max="1237" width="14.28515625" style="129" bestFit="1" customWidth="1"/>
    <col min="1238" max="1491" width="9.140625" style="129"/>
    <col min="1492" max="1492" width="28.5703125" style="129" customWidth="1"/>
    <col min="1493" max="1493" width="14.28515625" style="129" bestFit="1" customWidth="1"/>
    <col min="1494" max="1747" width="9.140625" style="129"/>
    <col min="1748" max="1748" width="28.5703125" style="129" customWidth="1"/>
    <col min="1749" max="1749" width="14.28515625" style="129" bestFit="1" customWidth="1"/>
    <col min="1750" max="2003" width="9.140625" style="129"/>
    <col min="2004" max="2004" width="28.5703125" style="129" customWidth="1"/>
    <col min="2005" max="2005" width="14.28515625" style="129" bestFit="1" customWidth="1"/>
    <col min="2006" max="2259" width="9.140625" style="129"/>
    <col min="2260" max="2260" width="28.5703125" style="129" customWidth="1"/>
    <col min="2261" max="2261" width="14.28515625" style="129" bestFit="1" customWidth="1"/>
    <col min="2262" max="2515" width="9.140625" style="129"/>
    <col min="2516" max="2516" width="28.5703125" style="129" customWidth="1"/>
    <col min="2517" max="2517" width="14.28515625" style="129" bestFit="1" customWidth="1"/>
    <col min="2518" max="2771" width="9.140625" style="129"/>
    <col min="2772" max="2772" width="28.5703125" style="129" customWidth="1"/>
    <col min="2773" max="2773" width="14.28515625" style="129" bestFit="1" customWidth="1"/>
    <col min="2774" max="3027" width="9.140625" style="129"/>
    <col min="3028" max="3028" width="28.5703125" style="129" customWidth="1"/>
    <col min="3029" max="3029" width="14.28515625" style="129" bestFit="1" customWidth="1"/>
    <col min="3030" max="3283" width="9.140625" style="129"/>
    <col min="3284" max="3284" width="28.5703125" style="129" customWidth="1"/>
    <col min="3285" max="3285" width="14.28515625" style="129" bestFit="1" customWidth="1"/>
    <col min="3286" max="3539" width="9.140625" style="129"/>
    <col min="3540" max="3540" width="28.5703125" style="129" customWidth="1"/>
    <col min="3541" max="3541" width="14.28515625" style="129" bestFit="1" customWidth="1"/>
    <col min="3542" max="3795" width="9.140625" style="129"/>
    <col min="3796" max="3796" width="28.5703125" style="129" customWidth="1"/>
    <col min="3797" max="3797" width="14.28515625" style="129" bestFit="1" customWidth="1"/>
    <col min="3798" max="4051" width="9.140625" style="129"/>
    <col min="4052" max="4052" width="28.5703125" style="129" customWidth="1"/>
    <col min="4053" max="4053" width="14.28515625" style="129" bestFit="1" customWidth="1"/>
    <col min="4054" max="4307" width="9.140625" style="129"/>
    <col min="4308" max="4308" width="28.5703125" style="129" customWidth="1"/>
    <col min="4309" max="4309" width="14.28515625" style="129" bestFit="1" customWidth="1"/>
    <col min="4310" max="4563" width="9.140625" style="129"/>
    <col min="4564" max="4564" width="28.5703125" style="129" customWidth="1"/>
    <col min="4565" max="4565" width="14.28515625" style="129" bestFit="1" customWidth="1"/>
    <col min="4566" max="4819" width="9.140625" style="129"/>
    <col min="4820" max="4820" width="28.5703125" style="129" customWidth="1"/>
    <col min="4821" max="4821" width="14.28515625" style="129" bestFit="1" customWidth="1"/>
    <col min="4822" max="5075" width="9.140625" style="129"/>
    <col min="5076" max="5076" width="28.5703125" style="129" customWidth="1"/>
    <col min="5077" max="5077" width="14.28515625" style="129" bestFit="1" customWidth="1"/>
    <col min="5078" max="5331" width="9.140625" style="129"/>
    <col min="5332" max="5332" width="28.5703125" style="129" customWidth="1"/>
    <col min="5333" max="5333" width="14.28515625" style="129" bestFit="1" customWidth="1"/>
    <col min="5334" max="5587" width="9.140625" style="129"/>
    <col min="5588" max="5588" width="28.5703125" style="129" customWidth="1"/>
    <col min="5589" max="5589" width="14.28515625" style="129" bestFit="1" customWidth="1"/>
    <col min="5590" max="5843" width="9.140625" style="129"/>
    <col min="5844" max="5844" width="28.5703125" style="129" customWidth="1"/>
    <col min="5845" max="5845" width="14.28515625" style="129" bestFit="1" customWidth="1"/>
    <col min="5846" max="6099" width="9.140625" style="129"/>
    <col min="6100" max="6100" width="28.5703125" style="129" customWidth="1"/>
    <col min="6101" max="6101" width="14.28515625" style="129" bestFit="1" customWidth="1"/>
    <col min="6102" max="6355" width="9.140625" style="129"/>
    <col min="6356" max="6356" width="28.5703125" style="129" customWidth="1"/>
    <col min="6357" max="6357" width="14.28515625" style="129" bestFit="1" customWidth="1"/>
    <col min="6358" max="6611" width="9.140625" style="129"/>
    <col min="6612" max="6612" width="28.5703125" style="129" customWidth="1"/>
    <col min="6613" max="6613" width="14.28515625" style="129" bestFit="1" customWidth="1"/>
    <col min="6614" max="6867" width="9.140625" style="129"/>
    <col min="6868" max="6868" width="28.5703125" style="129" customWidth="1"/>
    <col min="6869" max="6869" width="14.28515625" style="129" bestFit="1" customWidth="1"/>
    <col min="6870" max="7123" width="9.140625" style="129"/>
    <col min="7124" max="7124" width="28.5703125" style="129" customWidth="1"/>
    <col min="7125" max="7125" width="14.28515625" style="129" bestFit="1" customWidth="1"/>
    <col min="7126" max="7379" width="9.140625" style="129"/>
    <col min="7380" max="7380" width="28.5703125" style="129" customWidth="1"/>
    <col min="7381" max="7381" width="14.28515625" style="129" bestFit="1" customWidth="1"/>
    <col min="7382" max="7635" width="9.140625" style="129"/>
    <col min="7636" max="7636" width="28.5703125" style="129" customWidth="1"/>
    <col min="7637" max="7637" width="14.28515625" style="129" bestFit="1" customWidth="1"/>
    <col min="7638" max="7891" width="9.140625" style="129"/>
    <col min="7892" max="7892" width="28.5703125" style="129" customWidth="1"/>
    <col min="7893" max="7893" width="14.28515625" style="129" bestFit="1" customWidth="1"/>
    <col min="7894" max="8147" width="9.140625" style="129"/>
    <col min="8148" max="8148" width="28.5703125" style="129" customWidth="1"/>
    <col min="8149" max="8149" width="14.28515625" style="129" bestFit="1" customWidth="1"/>
    <col min="8150" max="8403" width="9.140625" style="129"/>
    <col min="8404" max="8404" width="28.5703125" style="129" customWidth="1"/>
    <col min="8405" max="8405" width="14.28515625" style="129" bestFit="1" customWidth="1"/>
    <col min="8406" max="8659" width="9.140625" style="129"/>
    <col min="8660" max="8660" width="28.5703125" style="129" customWidth="1"/>
    <col min="8661" max="8661" width="14.28515625" style="129" bestFit="1" customWidth="1"/>
    <col min="8662" max="8915" width="9.140625" style="129"/>
    <col min="8916" max="8916" width="28.5703125" style="129" customWidth="1"/>
    <col min="8917" max="8917" width="14.28515625" style="129" bestFit="1" customWidth="1"/>
    <col min="8918" max="9171" width="9.140625" style="129"/>
    <col min="9172" max="9172" width="28.5703125" style="129" customWidth="1"/>
    <col min="9173" max="9173" width="14.28515625" style="129" bestFit="1" customWidth="1"/>
    <col min="9174" max="9427" width="9.140625" style="129"/>
    <col min="9428" max="9428" width="28.5703125" style="129" customWidth="1"/>
    <col min="9429" max="9429" width="14.28515625" style="129" bestFit="1" customWidth="1"/>
    <col min="9430" max="9683" width="9.140625" style="129"/>
    <col min="9684" max="9684" width="28.5703125" style="129" customWidth="1"/>
    <col min="9685" max="9685" width="14.28515625" style="129" bestFit="1" customWidth="1"/>
    <col min="9686" max="9939" width="9.140625" style="129"/>
    <col min="9940" max="9940" width="28.5703125" style="129" customWidth="1"/>
    <col min="9941" max="9941" width="14.28515625" style="129" bestFit="1" customWidth="1"/>
    <col min="9942" max="10195" width="9.140625" style="129"/>
    <col min="10196" max="10196" width="28.5703125" style="129" customWidth="1"/>
    <col min="10197" max="10197" width="14.28515625" style="129" bestFit="1" customWidth="1"/>
    <col min="10198" max="10451" width="9.140625" style="129"/>
    <col min="10452" max="10452" width="28.5703125" style="129" customWidth="1"/>
    <col min="10453" max="10453" width="14.28515625" style="129" bestFit="1" customWidth="1"/>
    <col min="10454" max="10707" width="9.140625" style="129"/>
    <col min="10708" max="10708" width="28.5703125" style="129" customWidth="1"/>
    <col min="10709" max="10709" width="14.28515625" style="129" bestFit="1" customWidth="1"/>
    <col min="10710" max="10963" width="9.140625" style="129"/>
    <col min="10964" max="10964" width="28.5703125" style="129" customWidth="1"/>
    <col min="10965" max="10965" width="14.28515625" style="129" bestFit="1" customWidth="1"/>
    <col min="10966" max="11219" width="9.140625" style="129"/>
    <col min="11220" max="11220" width="28.5703125" style="129" customWidth="1"/>
    <col min="11221" max="11221" width="14.28515625" style="129" bestFit="1" customWidth="1"/>
    <col min="11222" max="11475" width="9.140625" style="129"/>
    <col min="11476" max="11476" width="28.5703125" style="129" customWidth="1"/>
    <col min="11477" max="11477" width="14.28515625" style="129" bestFit="1" customWidth="1"/>
    <col min="11478" max="11731" width="9.140625" style="129"/>
    <col min="11732" max="11732" width="28.5703125" style="129" customWidth="1"/>
    <col min="11733" max="11733" width="14.28515625" style="129" bestFit="1" customWidth="1"/>
    <col min="11734" max="11987" width="9.140625" style="129"/>
    <col min="11988" max="11988" width="28.5703125" style="129" customWidth="1"/>
    <col min="11989" max="11989" width="14.28515625" style="129" bestFit="1" customWidth="1"/>
    <col min="11990" max="12243" width="9.140625" style="129"/>
    <col min="12244" max="12244" width="28.5703125" style="129" customWidth="1"/>
    <col min="12245" max="12245" width="14.28515625" style="129" bestFit="1" customWidth="1"/>
    <col min="12246" max="12499" width="9.140625" style="129"/>
    <col min="12500" max="12500" width="28.5703125" style="129" customWidth="1"/>
    <col min="12501" max="12501" width="14.28515625" style="129" bestFit="1" customWidth="1"/>
    <col min="12502" max="12755" width="9.140625" style="129"/>
    <col min="12756" max="12756" width="28.5703125" style="129" customWidth="1"/>
    <col min="12757" max="12757" width="14.28515625" style="129" bestFit="1" customWidth="1"/>
    <col min="12758" max="13011" width="9.140625" style="129"/>
    <col min="13012" max="13012" width="28.5703125" style="129" customWidth="1"/>
    <col min="13013" max="13013" width="14.28515625" style="129" bestFit="1" customWidth="1"/>
    <col min="13014" max="13267" width="9.140625" style="129"/>
    <col min="13268" max="13268" width="28.5703125" style="129" customWidth="1"/>
    <col min="13269" max="13269" width="14.28515625" style="129" bestFit="1" customWidth="1"/>
    <col min="13270" max="13523" width="9.140625" style="129"/>
    <col min="13524" max="13524" width="28.5703125" style="129" customWidth="1"/>
    <col min="13525" max="13525" width="14.28515625" style="129" bestFit="1" customWidth="1"/>
    <col min="13526" max="13779" width="9.140625" style="129"/>
    <col min="13780" max="13780" width="28.5703125" style="129" customWidth="1"/>
    <col min="13781" max="13781" width="14.28515625" style="129" bestFit="1" customWidth="1"/>
    <col min="13782" max="14035" width="9.140625" style="129"/>
    <col min="14036" max="14036" width="28.5703125" style="129" customWidth="1"/>
    <col min="14037" max="14037" width="14.28515625" style="129" bestFit="1" customWidth="1"/>
    <col min="14038" max="14291" width="9.140625" style="129"/>
    <col min="14292" max="14292" width="28.5703125" style="129" customWidth="1"/>
    <col min="14293" max="14293" width="14.28515625" style="129" bestFit="1" customWidth="1"/>
    <col min="14294" max="14547" width="9.140625" style="129"/>
    <col min="14548" max="14548" width="28.5703125" style="129" customWidth="1"/>
    <col min="14549" max="14549" width="14.28515625" style="129" bestFit="1" customWidth="1"/>
    <col min="14550" max="14803" width="9.140625" style="129"/>
    <col min="14804" max="14804" width="28.5703125" style="129" customWidth="1"/>
    <col min="14805" max="14805" width="14.28515625" style="129" bestFit="1" customWidth="1"/>
    <col min="14806" max="15059" width="9.140625" style="129"/>
    <col min="15060" max="15060" width="28.5703125" style="129" customWidth="1"/>
    <col min="15061" max="15061" width="14.28515625" style="129" bestFit="1" customWidth="1"/>
    <col min="15062" max="15315" width="9.140625" style="129"/>
    <col min="15316" max="15316" width="28.5703125" style="129" customWidth="1"/>
    <col min="15317" max="15317" width="14.28515625" style="129" bestFit="1" customWidth="1"/>
    <col min="15318" max="15571" width="9.140625" style="129"/>
    <col min="15572" max="15572" width="28.5703125" style="129" customWidth="1"/>
    <col min="15573" max="15573" width="14.28515625" style="129" bestFit="1" customWidth="1"/>
    <col min="15574" max="15827" width="9.140625" style="129"/>
    <col min="15828" max="15828" width="28.5703125" style="129" customWidth="1"/>
    <col min="15829" max="15829" width="14.28515625" style="129" bestFit="1" customWidth="1"/>
    <col min="15830" max="16083" width="9.140625" style="129"/>
    <col min="16084" max="16084" width="28.5703125" style="129" customWidth="1"/>
    <col min="16085" max="16085" width="14.28515625" style="129" bestFit="1" customWidth="1"/>
    <col min="16086" max="16384" width="9.140625" style="129"/>
  </cols>
  <sheetData>
    <row r="1" spans="2:3" s="103" customFormat="1" ht="12.75" x14ac:dyDescent="0.2"/>
    <row r="2" spans="2:3" s="103" customFormat="1" ht="12.75" x14ac:dyDescent="0.2">
      <c r="B2" s="125" t="s">
        <v>7</v>
      </c>
      <c r="C2" s="126"/>
    </row>
    <row r="3" spans="2:3" s="103" customFormat="1" ht="12.75" x14ac:dyDescent="0.2">
      <c r="B3" s="125" t="s">
        <v>8</v>
      </c>
      <c r="C3" s="126"/>
    </row>
    <row r="4" spans="2:3" x14ac:dyDescent="0.25">
      <c r="B4" s="127" t="s">
        <v>521</v>
      </c>
      <c r="C4" s="128"/>
    </row>
    <row r="5" spans="2:3" x14ac:dyDescent="0.25">
      <c r="B5" s="130"/>
      <c r="C5" s="131"/>
    </row>
    <row r="6" spans="2:3" x14ac:dyDescent="0.25">
      <c r="B6" s="130" t="s">
        <v>179</v>
      </c>
      <c r="C6" s="131"/>
    </row>
    <row r="7" spans="2:3" ht="15" customHeight="1" x14ac:dyDescent="0.25">
      <c r="B7" s="143" t="s">
        <v>191</v>
      </c>
      <c r="C7" s="132">
        <f>$C$24</f>
        <v>0</v>
      </c>
    </row>
    <row r="8" spans="2:3" x14ac:dyDescent="0.25">
      <c r="B8" s="143" t="s">
        <v>192</v>
      </c>
      <c r="C8" s="132">
        <f>$C$25*$C$15</f>
        <v>1000</v>
      </c>
    </row>
    <row r="9" spans="2:3" x14ac:dyDescent="0.25">
      <c r="B9" s="144" t="s">
        <v>180</v>
      </c>
      <c r="C9" s="132">
        <f>(C29/C28)*C26</f>
        <v>2000</v>
      </c>
    </row>
    <row r="10" spans="2:3" x14ac:dyDescent="0.25">
      <c r="B10" s="144" t="s">
        <v>13</v>
      </c>
      <c r="C10" s="133">
        <f>(SUM($C$8:$C$9)*$C$27)</f>
        <v>0</v>
      </c>
    </row>
    <row r="11" spans="2:3" ht="15" customHeight="1" x14ac:dyDescent="0.25">
      <c r="B11" s="130" t="s">
        <v>181</v>
      </c>
      <c r="C11" s="134">
        <f>SUM(C7:C10)</f>
        <v>3000</v>
      </c>
    </row>
    <row r="12" spans="2:3" x14ac:dyDescent="0.25">
      <c r="B12" s="130"/>
      <c r="C12" s="135"/>
    </row>
    <row r="13" spans="2:3" x14ac:dyDescent="0.25">
      <c r="B13" s="136" t="s">
        <v>188</v>
      </c>
      <c r="C13" s="137">
        <f>$C$30</f>
        <v>5251</v>
      </c>
    </row>
    <row r="14" spans="2:3" x14ac:dyDescent="0.25">
      <c r="B14" s="130" t="s">
        <v>182</v>
      </c>
      <c r="C14" s="138">
        <f>C11*C13</f>
        <v>15753000</v>
      </c>
    </row>
    <row r="15" spans="2:3" x14ac:dyDescent="0.25">
      <c r="B15" s="139" t="s">
        <v>183</v>
      </c>
      <c r="C15" s="137">
        <f>$C$29</f>
        <v>20</v>
      </c>
    </row>
    <row r="16" spans="2:3" x14ac:dyDescent="0.25">
      <c r="B16" s="130" t="s">
        <v>184</v>
      </c>
      <c r="C16" s="138">
        <f>C14/C15</f>
        <v>787650</v>
      </c>
    </row>
    <row r="18" spans="2:3" x14ac:dyDescent="0.25">
      <c r="B18" s="136" t="s">
        <v>188</v>
      </c>
      <c r="C18" s="137">
        <f>$C$30</f>
        <v>5251</v>
      </c>
    </row>
    <row r="19" spans="2:3" x14ac:dyDescent="0.25">
      <c r="B19" s="140" t="s">
        <v>185</v>
      </c>
      <c r="C19" s="141">
        <f>+MROUND($C$16/$C$18,100)</f>
        <v>200</v>
      </c>
    </row>
    <row r="22" spans="2:3" x14ac:dyDescent="0.25">
      <c r="B22" s="711" t="s">
        <v>193</v>
      </c>
      <c r="C22" s="711"/>
    </row>
    <row r="23" spans="2:3" ht="15" customHeight="1" x14ac:dyDescent="0.25"/>
    <row r="24" spans="2:3" x14ac:dyDescent="0.25">
      <c r="B24" s="142" t="s">
        <v>191</v>
      </c>
      <c r="C24" s="486">
        <v>0</v>
      </c>
    </row>
    <row r="25" spans="2:3" x14ac:dyDescent="0.25">
      <c r="B25" s="129" t="s">
        <v>187</v>
      </c>
      <c r="C25" s="487">
        <v>50</v>
      </c>
    </row>
    <row r="26" spans="2:3" x14ac:dyDescent="0.25">
      <c r="B26" s="129" t="s">
        <v>180</v>
      </c>
      <c r="C26" s="487">
        <v>300</v>
      </c>
    </row>
    <row r="27" spans="2:3" x14ac:dyDescent="0.25">
      <c r="B27" s="129" t="s">
        <v>13</v>
      </c>
      <c r="C27" s="488">
        <v>0</v>
      </c>
    </row>
    <row r="28" spans="2:3" ht="15" customHeight="1" x14ac:dyDescent="0.25">
      <c r="B28" s="142" t="s">
        <v>194</v>
      </c>
      <c r="C28" s="489">
        <v>3</v>
      </c>
    </row>
    <row r="29" spans="2:3" x14ac:dyDescent="0.25">
      <c r="B29" s="142" t="s">
        <v>195</v>
      </c>
      <c r="C29" s="489">
        <v>20</v>
      </c>
    </row>
    <row r="30" spans="2:3" x14ac:dyDescent="0.25">
      <c r="B30" s="142" t="s">
        <v>197</v>
      </c>
      <c r="C30" s="489">
        <v>5251</v>
      </c>
    </row>
    <row r="31" spans="2:3" x14ac:dyDescent="0.25">
      <c r="B31" s="145"/>
      <c r="C31" s="145"/>
    </row>
    <row r="33" spans="2:3" ht="15" customHeight="1" x14ac:dyDescent="0.25">
      <c r="B33" s="130" t="s">
        <v>186</v>
      </c>
    </row>
    <row r="34" spans="2:3" ht="15" customHeight="1" x14ac:dyDescent="0.25">
      <c r="B34" s="710" t="s">
        <v>189</v>
      </c>
      <c r="C34" s="710"/>
    </row>
    <row r="35" spans="2:3" x14ac:dyDescent="0.25">
      <c r="B35" s="710"/>
      <c r="C35" s="710"/>
    </row>
    <row r="36" spans="2:3" x14ac:dyDescent="0.25">
      <c r="B36" s="710"/>
      <c r="C36" s="710"/>
    </row>
    <row r="37" spans="2:3" x14ac:dyDescent="0.25">
      <c r="B37" s="710"/>
      <c r="C37" s="710"/>
    </row>
    <row r="38" spans="2:3" x14ac:dyDescent="0.25">
      <c r="B38" s="416"/>
      <c r="C38" s="416"/>
    </row>
    <row r="39" spans="2:3" ht="15" customHeight="1" x14ac:dyDescent="0.25">
      <c r="B39" s="710" t="s">
        <v>190</v>
      </c>
      <c r="C39" s="710"/>
    </row>
    <row r="40" spans="2:3" ht="15" customHeight="1" x14ac:dyDescent="0.25">
      <c r="B40" s="710"/>
      <c r="C40" s="710"/>
    </row>
    <row r="41" spans="2:3" ht="15" customHeight="1" x14ac:dyDescent="0.25">
      <c r="B41" s="710"/>
      <c r="C41" s="710"/>
    </row>
    <row r="42" spans="2:3" x14ac:dyDescent="0.25">
      <c r="B42" s="710"/>
      <c r="C42" s="710"/>
    </row>
    <row r="43" spans="2:3" x14ac:dyDescent="0.25">
      <c r="B43" s="416"/>
      <c r="C43" s="416"/>
    </row>
    <row r="44" spans="2:3" ht="15" customHeight="1" x14ac:dyDescent="0.25">
      <c r="B44" s="710" t="s">
        <v>213</v>
      </c>
      <c r="C44" s="710"/>
    </row>
    <row r="45" spans="2:3" x14ac:dyDescent="0.25">
      <c r="B45" s="710"/>
      <c r="C45" s="710"/>
    </row>
    <row r="47" spans="2:3" ht="15" customHeight="1" x14ac:dyDescent="0.25">
      <c r="B47" s="710" t="s">
        <v>212</v>
      </c>
      <c r="C47" s="710"/>
    </row>
    <row r="48" spans="2:3" x14ac:dyDescent="0.25">
      <c r="B48" s="710"/>
      <c r="C48" s="710"/>
    </row>
    <row r="50" spans="2:3" ht="15" customHeight="1" x14ac:dyDescent="0.25">
      <c r="B50" s="710" t="s">
        <v>196</v>
      </c>
      <c r="C50" s="710"/>
    </row>
    <row r="51" spans="2:3" x14ac:dyDescent="0.25">
      <c r="B51" s="146"/>
      <c r="C51" s="146"/>
    </row>
    <row r="53" spans="2:3" x14ac:dyDescent="0.25">
      <c r="B53" s="139"/>
    </row>
    <row r="54" spans="2:3" x14ac:dyDescent="0.25">
      <c r="B54" s="139"/>
    </row>
    <row r="55" spans="2:3" x14ac:dyDescent="0.25">
      <c r="B55" s="142"/>
    </row>
  </sheetData>
  <sheetProtection password="E40A" sheet="1" objects="1" scenarios="1"/>
  <mergeCells count="6">
    <mergeCell ref="B50:C50"/>
    <mergeCell ref="B22:C22"/>
    <mergeCell ref="B34:C37"/>
    <mergeCell ref="B39:C42"/>
    <mergeCell ref="B44:C45"/>
    <mergeCell ref="B47:C48"/>
  </mergeCells>
  <printOptions horizontalCentered="1"/>
  <pageMargins left="0.7" right="0.7" top="0.75" bottom="0.75" header="0.3" footer="0.3"/>
  <pageSetup scale="93" orientation="portrait" r:id="rId1"/>
  <headerFooter>
    <oddFooter>&amp;LAECOM Technical Services, Inc.
Pocasset, MA&amp;RPage &amp;P of &amp;N
Revised: March 18, 2016</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3"/>
  <sheetViews>
    <sheetView zoomScaleNormal="100" workbookViewId="0"/>
  </sheetViews>
  <sheetFormatPr defaultRowHeight="12.75" x14ac:dyDescent="0.2"/>
  <cols>
    <col min="1" max="1" width="2.7109375" style="60" customWidth="1"/>
    <col min="2" max="2" width="40.42578125" style="60" bestFit="1" customWidth="1"/>
    <col min="3" max="3" width="16.5703125" style="60" customWidth="1"/>
    <col min="4" max="4" width="18.5703125" style="60" customWidth="1"/>
    <col min="5" max="5" width="57.42578125" style="60" bestFit="1" customWidth="1"/>
    <col min="6" max="6" width="2.7109375" style="60" customWidth="1"/>
    <col min="7" max="16384" width="9.140625" style="60"/>
  </cols>
  <sheetData>
    <row r="2" spans="2:5" s="103" customFormat="1" x14ac:dyDescent="0.2">
      <c r="B2" s="125" t="s">
        <v>7</v>
      </c>
      <c r="C2" s="126"/>
      <c r="D2" s="126"/>
      <c r="E2" s="126"/>
    </row>
    <row r="3" spans="2:5" s="103" customFormat="1" x14ac:dyDescent="0.2">
      <c r="B3" s="125" t="s">
        <v>8</v>
      </c>
      <c r="C3" s="126"/>
      <c r="D3" s="126"/>
      <c r="E3" s="126"/>
    </row>
    <row r="4" spans="2:5" s="492" customFormat="1" x14ac:dyDescent="0.2">
      <c r="B4" s="490" t="s">
        <v>460</v>
      </c>
      <c r="C4" s="491"/>
      <c r="D4" s="491"/>
      <c r="E4" s="491"/>
    </row>
    <row r="6" spans="2:5" x14ac:dyDescent="0.2">
      <c r="B6" s="493" t="s">
        <v>284</v>
      </c>
      <c r="C6" s="493" t="s">
        <v>276</v>
      </c>
      <c r="D6" s="493" t="s">
        <v>285</v>
      </c>
      <c r="E6" s="493" t="s">
        <v>461</v>
      </c>
    </row>
    <row r="7" spans="2:5" s="85" customFormat="1" x14ac:dyDescent="0.2">
      <c r="B7" s="511"/>
      <c r="C7" s="511"/>
      <c r="D7" s="511"/>
      <c r="E7" s="511"/>
    </row>
    <row r="8" spans="2:5" x14ac:dyDescent="0.2">
      <c r="B8" s="494" t="s">
        <v>472</v>
      </c>
      <c r="C8" s="508">
        <v>500000</v>
      </c>
      <c r="D8" s="495">
        <f>+C8/20</f>
        <v>25000</v>
      </c>
      <c r="E8" s="507" t="s">
        <v>467</v>
      </c>
    </row>
    <row r="9" spans="2:5" x14ac:dyDescent="0.2">
      <c r="B9" s="494" t="s">
        <v>473</v>
      </c>
      <c r="C9" s="494"/>
      <c r="D9" s="508">
        <v>225000</v>
      </c>
      <c r="E9" s="494"/>
    </row>
    <row r="10" spans="2:5" x14ac:dyDescent="0.2">
      <c r="B10" s="496" t="s">
        <v>463</v>
      </c>
      <c r="C10" s="494"/>
      <c r="D10" s="497">
        <f>SUM(D8:D9)</f>
        <v>250000</v>
      </c>
      <c r="E10" s="494"/>
    </row>
    <row r="11" spans="2:5" x14ac:dyDescent="0.2">
      <c r="B11" s="496"/>
      <c r="C11" s="494"/>
      <c r="D11" s="497"/>
      <c r="E11" s="494"/>
    </row>
    <row r="12" spans="2:5" x14ac:dyDescent="0.2">
      <c r="B12" s="494" t="s">
        <v>474</v>
      </c>
      <c r="C12" s="494"/>
      <c r="D12" s="509">
        <v>6000000</v>
      </c>
      <c r="E12" s="494" t="s">
        <v>286</v>
      </c>
    </row>
    <row r="13" spans="2:5" x14ac:dyDescent="0.2">
      <c r="B13" s="494" t="s">
        <v>475</v>
      </c>
      <c r="C13" s="494"/>
      <c r="D13" s="498">
        <f>D12/365</f>
        <v>16438.35616438356</v>
      </c>
      <c r="E13" s="494" t="s">
        <v>396</v>
      </c>
    </row>
    <row r="14" spans="2:5" x14ac:dyDescent="0.2">
      <c r="B14" s="494" t="s">
        <v>476</v>
      </c>
      <c r="C14" s="494"/>
      <c r="D14" s="510">
        <v>0.1</v>
      </c>
      <c r="E14" s="507" t="s">
        <v>462</v>
      </c>
    </row>
    <row r="15" spans="2:5" x14ac:dyDescent="0.2">
      <c r="B15" s="496" t="s">
        <v>477</v>
      </c>
      <c r="C15" s="494"/>
      <c r="D15" s="497">
        <f>+D12*D14</f>
        <v>600000</v>
      </c>
      <c r="E15" s="494"/>
    </row>
    <row r="16" spans="2:5" x14ac:dyDescent="0.2">
      <c r="B16" s="496" t="s">
        <v>478</v>
      </c>
      <c r="C16" s="494"/>
      <c r="D16" s="497">
        <f>+D15-D10</f>
        <v>350000</v>
      </c>
      <c r="E16" s="494"/>
    </row>
    <row r="17" spans="2:5" x14ac:dyDescent="0.2">
      <c r="B17" s="496"/>
      <c r="C17" s="494"/>
      <c r="D17" s="497"/>
      <c r="E17" s="494"/>
    </row>
    <row r="18" spans="2:5" x14ac:dyDescent="0.2">
      <c r="B18" s="493" t="s">
        <v>287</v>
      </c>
      <c r="C18" s="493"/>
      <c r="D18" s="493"/>
      <c r="E18" s="493" t="s">
        <v>461</v>
      </c>
    </row>
    <row r="19" spans="2:5" s="85" customFormat="1" x14ac:dyDescent="0.2">
      <c r="B19" s="511"/>
      <c r="C19" s="511"/>
      <c r="D19" s="511"/>
      <c r="E19" s="511"/>
    </row>
    <row r="20" spans="2:5" x14ac:dyDescent="0.2">
      <c r="B20" s="494" t="s">
        <v>471</v>
      </c>
      <c r="C20" s="494"/>
      <c r="D20" s="498">
        <f>+D12/1200</f>
        <v>5000</v>
      </c>
      <c r="E20" s="507" t="s">
        <v>468</v>
      </c>
    </row>
    <row r="21" spans="2:5" x14ac:dyDescent="0.2">
      <c r="B21" s="499"/>
      <c r="C21" s="494"/>
      <c r="D21" s="497"/>
      <c r="E21" s="494"/>
    </row>
    <row r="22" spans="2:5" x14ac:dyDescent="0.2">
      <c r="B22" s="499" t="s">
        <v>465</v>
      </c>
      <c r="C22" s="494"/>
      <c r="D22" s="497"/>
      <c r="E22" s="494"/>
    </row>
    <row r="23" spans="2:5" x14ac:dyDescent="0.2">
      <c r="B23" s="494" t="s">
        <v>464</v>
      </c>
      <c r="C23" s="494"/>
      <c r="D23" s="508">
        <v>300</v>
      </c>
      <c r="E23" s="507" t="s">
        <v>288</v>
      </c>
    </row>
    <row r="24" spans="2:5" x14ac:dyDescent="0.2">
      <c r="B24" s="496" t="s">
        <v>463</v>
      </c>
      <c r="C24" s="494"/>
      <c r="D24" s="497">
        <f>+D20*D23</f>
        <v>1500000</v>
      </c>
      <c r="E24" s="494"/>
    </row>
    <row r="25" spans="2:5" x14ac:dyDescent="0.2">
      <c r="B25" s="499"/>
      <c r="C25" s="494"/>
      <c r="D25" s="497"/>
      <c r="E25" s="494"/>
    </row>
    <row r="26" spans="2:5" x14ac:dyDescent="0.2">
      <c r="B26" s="499" t="s">
        <v>466</v>
      </c>
      <c r="C26" s="494"/>
      <c r="D26" s="497"/>
      <c r="E26" s="494"/>
    </row>
    <row r="27" spans="2:5" x14ac:dyDescent="0.2">
      <c r="B27" s="512" t="s">
        <v>464</v>
      </c>
      <c r="C27" s="494"/>
      <c r="D27" s="508">
        <v>450</v>
      </c>
      <c r="E27" s="507" t="s">
        <v>289</v>
      </c>
    </row>
    <row r="28" spans="2:5" x14ac:dyDescent="0.2">
      <c r="B28" s="496" t="s">
        <v>463</v>
      </c>
      <c r="C28" s="499"/>
      <c r="D28" s="500">
        <f>+D27*D20</f>
        <v>2250000</v>
      </c>
      <c r="E28" s="494"/>
    </row>
    <row r="29" spans="2:5" x14ac:dyDescent="0.2">
      <c r="B29" s="499"/>
      <c r="C29" s="499"/>
      <c r="D29" s="500"/>
      <c r="E29" s="494"/>
    </row>
    <row r="30" spans="2:5" x14ac:dyDescent="0.2">
      <c r="B30" s="496" t="s">
        <v>469</v>
      </c>
      <c r="C30" s="499"/>
      <c r="D30" s="497">
        <f>+D28-D24</f>
        <v>750000</v>
      </c>
      <c r="E30" s="494"/>
    </row>
    <row r="31" spans="2:5" x14ac:dyDescent="0.2">
      <c r="B31" s="496" t="s">
        <v>470</v>
      </c>
      <c r="C31" s="499"/>
      <c r="D31" s="501">
        <f>+D30/D20</f>
        <v>150</v>
      </c>
      <c r="E31" s="494"/>
    </row>
    <row r="32" spans="2:5" x14ac:dyDescent="0.2">
      <c r="B32" s="502"/>
      <c r="C32" s="502"/>
      <c r="D32" s="503"/>
      <c r="E32" s="504"/>
    </row>
    <row r="33" spans="2:5" x14ac:dyDescent="0.2">
      <c r="B33" s="505"/>
      <c r="C33" s="505"/>
      <c r="D33" s="506"/>
      <c r="E33" s="63"/>
    </row>
  </sheetData>
  <sheetProtection password="E40A" sheet="1" objects="1" scenarios="1"/>
  <printOptions horizontalCentered="1"/>
  <pageMargins left="0.25" right="0.25" top="0.75" bottom="0.75" header="0.3" footer="0.3"/>
  <pageSetup scale="97" orientation="landscape" r:id="rId1"/>
  <headerFooter>
    <oddFooter>&amp;LAECOM Technical Services, Inc.
Pocasset, MA&amp;RPage &amp;P of &amp;N
Revised: March 18, 2016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6"/>
  <sheetViews>
    <sheetView workbookViewId="0"/>
  </sheetViews>
  <sheetFormatPr defaultRowHeight="12.75" x14ac:dyDescent="0.2"/>
  <cols>
    <col min="1" max="1" width="2.7109375" style="60" customWidth="1"/>
    <col min="2" max="2" width="9.140625" style="60"/>
    <col min="3" max="3" width="2.7109375" style="60" customWidth="1"/>
    <col min="4" max="11" width="9.140625" style="60"/>
    <col min="12" max="12" width="2.7109375" style="60" customWidth="1"/>
    <col min="13" max="16384" width="9.140625" style="60"/>
  </cols>
  <sheetData>
    <row r="2" spans="2:11" s="103" customFormat="1" x14ac:dyDescent="0.2">
      <c r="B2" s="125" t="s">
        <v>7</v>
      </c>
      <c r="C2" s="126"/>
      <c r="D2" s="126"/>
      <c r="E2" s="126"/>
      <c r="F2" s="126"/>
      <c r="G2" s="126"/>
      <c r="H2" s="126"/>
      <c r="I2" s="126"/>
      <c r="J2" s="126"/>
      <c r="K2" s="126"/>
    </row>
    <row r="3" spans="2:11" s="103" customFormat="1" x14ac:dyDescent="0.2">
      <c r="B3" s="125" t="s">
        <v>8</v>
      </c>
      <c r="C3" s="126"/>
      <c r="D3" s="126"/>
      <c r="E3" s="126"/>
      <c r="F3" s="126"/>
      <c r="G3" s="126"/>
      <c r="H3" s="126"/>
      <c r="I3" s="126"/>
      <c r="J3" s="126"/>
      <c r="K3" s="126"/>
    </row>
    <row r="4" spans="2:11" s="103" customFormat="1" x14ac:dyDescent="0.2">
      <c r="B4" s="125" t="s">
        <v>459</v>
      </c>
      <c r="C4" s="126"/>
      <c r="D4" s="126"/>
      <c r="E4" s="126"/>
      <c r="F4" s="126"/>
      <c r="G4" s="126"/>
      <c r="H4" s="126"/>
      <c r="I4" s="126"/>
      <c r="J4" s="126"/>
      <c r="K4" s="126"/>
    </row>
    <row r="8" spans="2:11" x14ac:dyDescent="0.2">
      <c r="B8" s="712" t="s">
        <v>457</v>
      </c>
      <c r="C8" s="97"/>
    </row>
    <row r="9" spans="2:11" x14ac:dyDescent="0.2">
      <c r="B9" s="712"/>
      <c r="C9" s="97"/>
    </row>
    <row r="10" spans="2:11" x14ac:dyDescent="0.2">
      <c r="B10" s="712"/>
      <c r="C10" s="97"/>
    </row>
    <row r="11" spans="2:11" x14ac:dyDescent="0.2">
      <c r="B11" s="712"/>
      <c r="C11" s="97"/>
    </row>
    <row r="12" spans="2:11" x14ac:dyDescent="0.2">
      <c r="B12" s="712"/>
      <c r="C12" s="97"/>
    </row>
    <row r="13" spans="2:11" x14ac:dyDescent="0.2">
      <c r="B13" s="712"/>
      <c r="C13" s="97"/>
    </row>
    <row r="14" spans="2:11" x14ac:dyDescent="0.2">
      <c r="B14" s="712"/>
      <c r="C14" s="97"/>
    </row>
    <row r="15" spans="2:11" x14ac:dyDescent="0.2">
      <c r="B15" s="712"/>
      <c r="C15" s="97"/>
    </row>
    <row r="16" spans="2:11" x14ac:dyDescent="0.2">
      <c r="B16" s="712"/>
      <c r="C16" s="97"/>
    </row>
    <row r="18" spans="2:3" x14ac:dyDescent="0.2">
      <c r="B18" s="712" t="s">
        <v>458</v>
      </c>
      <c r="C18" s="97"/>
    </row>
    <row r="19" spans="2:3" x14ac:dyDescent="0.2">
      <c r="B19" s="712"/>
      <c r="C19" s="97"/>
    </row>
    <row r="20" spans="2:3" x14ac:dyDescent="0.2">
      <c r="B20" s="712"/>
      <c r="C20" s="97"/>
    </row>
    <row r="21" spans="2:3" x14ac:dyDescent="0.2">
      <c r="B21" s="712"/>
      <c r="C21" s="97"/>
    </row>
    <row r="22" spans="2:3" x14ac:dyDescent="0.2">
      <c r="B22" s="712"/>
      <c r="C22" s="97"/>
    </row>
    <row r="23" spans="2:3" x14ac:dyDescent="0.2">
      <c r="B23" s="712"/>
      <c r="C23" s="97"/>
    </row>
    <row r="24" spans="2:3" x14ac:dyDescent="0.2">
      <c r="B24" s="712"/>
      <c r="C24" s="97"/>
    </row>
    <row r="25" spans="2:3" x14ac:dyDescent="0.2">
      <c r="B25" s="712"/>
      <c r="C25" s="97"/>
    </row>
    <row r="26" spans="2:3" x14ac:dyDescent="0.2">
      <c r="B26" s="712"/>
      <c r="C26" s="97"/>
    </row>
  </sheetData>
  <sheetProtection password="E40A" sheet="1" objects="1" scenarios="1"/>
  <mergeCells count="2">
    <mergeCell ref="B18:B26"/>
    <mergeCell ref="B8:B16"/>
  </mergeCells>
  <printOptions horizontalCentered="1"/>
  <pageMargins left="0.5" right="0.5" top="0.75" bottom="0.75" header="0.3" footer="0.3"/>
  <pageSetup orientation="portrait" r:id="rId1"/>
  <headerFooter>
    <oddFooter>&amp;LAECOM Technical Services, Inc.
Pocasset, MA&amp;RPage &amp;P of &amp;N
Revised: March 18, 2016</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B2:S58"/>
  <sheetViews>
    <sheetView zoomScaleNormal="100" workbookViewId="0">
      <selection activeCell="C9" sqref="C9"/>
    </sheetView>
  </sheetViews>
  <sheetFormatPr defaultRowHeight="15" x14ac:dyDescent="0.25"/>
  <cols>
    <col min="1" max="1" width="2.7109375" style="85" customWidth="1"/>
    <col min="2" max="2" width="50.7109375" style="85" customWidth="1"/>
    <col min="3" max="3" width="10.7109375" style="85" customWidth="1"/>
    <col min="4" max="4" width="2.7109375" style="85" customWidth="1"/>
    <col min="5" max="5" width="45.7109375" style="85" customWidth="1"/>
    <col min="6" max="6" width="2.7109375" style="85" customWidth="1"/>
    <col min="7" max="9" width="9.140625" style="122"/>
    <col min="10" max="17" width="9.140625" style="85"/>
    <col min="18" max="18" width="12.28515625" style="85" customWidth="1"/>
    <col min="19" max="19" width="11.140625" style="85" bestFit="1" customWidth="1"/>
    <col min="20" max="16384" width="9.140625" style="85"/>
  </cols>
  <sheetData>
    <row r="2" spans="2:19" x14ac:dyDescent="0.25">
      <c r="B2" s="83" t="s">
        <v>7</v>
      </c>
      <c r="C2" s="83"/>
      <c r="D2" s="83"/>
      <c r="E2" s="84"/>
    </row>
    <row r="3" spans="2:19" x14ac:dyDescent="0.25">
      <c r="B3" s="83" t="s">
        <v>8</v>
      </c>
      <c r="C3" s="83"/>
      <c r="D3" s="83"/>
      <c r="E3" s="84"/>
    </row>
    <row r="4" spans="2:19" x14ac:dyDescent="0.25">
      <c r="B4" s="83" t="s">
        <v>20</v>
      </c>
      <c r="C4" s="83"/>
      <c r="D4" s="83"/>
      <c r="E4" s="84"/>
    </row>
    <row r="5" spans="2:19" ht="15.75" thickBot="1" x14ac:dyDescent="0.3"/>
    <row r="6" spans="2:19" ht="15.75" thickBot="1" x14ac:dyDescent="0.3">
      <c r="B6" s="86" t="s">
        <v>4</v>
      </c>
      <c r="C6" s="87" t="s">
        <v>0</v>
      </c>
      <c r="D6" s="87"/>
      <c r="E6" s="89" t="s">
        <v>9</v>
      </c>
    </row>
    <row r="7" spans="2:19" x14ac:dyDescent="0.25">
      <c r="B7" s="8"/>
      <c r="C7" s="1"/>
      <c r="D7" s="1"/>
      <c r="E7" s="2"/>
      <c r="S7" s="85">
        <v>0.78</v>
      </c>
    </row>
    <row r="8" spans="2:19" x14ac:dyDescent="0.25">
      <c r="B8" s="9" t="s">
        <v>278</v>
      </c>
      <c r="C8" s="1"/>
      <c r="D8" s="1"/>
      <c r="E8" s="2"/>
    </row>
    <row r="9" spans="2:19" x14ac:dyDescent="0.25">
      <c r="B9" s="7" t="s">
        <v>12</v>
      </c>
      <c r="C9" s="20">
        <v>0.05</v>
      </c>
      <c r="D9" s="66"/>
      <c r="E9" s="22"/>
      <c r="P9" s="85">
        <v>585000</v>
      </c>
      <c r="S9" s="148">
        <f>R9*$S$7</f>
        <v>0</v>
      </c>
    </row>
    <row r="10" spans="2:19" x14ac:dyDescent="0.25">
      <c r="B10" s="4" t="s">
        <v>6</v>
      </c>
      <c r="C10" s="20">
        <v>0.22</v>
      </c>
      <c r="D10" s="66"/>
      <c r="E10" s="23"/>
      <c r="P10" s="85">
        <v>120</v>
      </c>
      <c r="S10" s="148">
        <f t="shared" ref="S10:S23" si="0">R10*$S$7</f>
        <v>0</v>
      </c>
    </row>
    <row r="11" spans="2:19" x14ac:dyDescent="0.25">
      <c r="B11" s="4" t="s">
        <v>13</v>
      </c>
      <c r="C11" s="20">
        <v>0.25</v>
      </c>
      <c r="D11" s="66"/>
      <c r="E11" s="99" t="s">
        <v>11</v>
      </c>
      <c r="P11" s="85">
        <v>125</v>
      </c>
      <c r="S11" s="148">
        <f t="shared" si="0"/>
        <v>0</v>
      </c>
    </row>
    <row r="12" spans="2:19" x14ac:dyDescent="0.25">
      <c r="B12" s="4" t="s">
        <v>14</v>
      </c>
      <c r="C12" s="20"/>
      <c r="D12" s="66"/>
      <c r="E12" s="99" t="s">
        <v>11</v>
      </c>
      <c r="P12" s="85">
        <v>7800</v>
      </c>
      <c r="S12" s="148">
        <f t="shared" si="0"/>
        <v>0</v>
      </c>
    </row>
    <row r="13" spans="2:19" x14ac:dyDescent="0.25">
      <c r="B13" s="37" t="s">
        <v>62</v>
      </c>
      <c r="C13" s="20">
        <v>0.05</v>
      </c>
      <c r="D13" s="66"/>
      <c r="E13" s="99"/>
      <c r="P13" s="85">
        <v>100</v>
      </c>
      <c r="S13" s="148">
        <f t="shared" si="0"/>
        <v>0</v>
      </c>
    </row>
    <row r="14" spans="2:19" x14ac:dyDescent="0.25">
      <c r="B14" s="37" t="s">
        <v>61</v>
      </c>
      <c r="C14" s="20">
        <v>0.05</v>
      </c>
      <c r="D14" s="66"/>
      <c r="E14" s="99"/>
      <c r="P14" s="85">
        <v>12000</v>
      </c>
      <c r="S14" s="148">
        <f t="shared" si="0"/>
        <v>0</v>
      </c>
    </row>
    <row r="15" spans="2:19" x14ac:dyDescent="0.25">
      <c r="B15" s="37" t="s">
        <v>59</v>
      </c>
      <c r="C15" s="20">
        <v>0.1</v>
      </c>
      <c r="D15" s="66"/>
      <c r="E15" s="99"/>
      <c r="P15" s="85">
        <v>8000</v>
      </c>
      <c r="S15" s="148">
        <f t="shared" si="0"/>
        <v>0</v>
      </c>
    </row>
    <row r="16" spans="2:19" x14ac:dyDescent="0.25">
      <c r="B16" s="37" t="s">
        <v>60</v>
      </c>
      <c r="C16" s="20">
        <v>0.15</v>
      </c>
      <c r="D16" s="66"/>
      <c r="E16" s="117"/>
      <c r="P16" s="85">
        <v>160</v>
      </c>
      <c r="S16" s="148">
        <f t="shared" si="0"/>
        <v>0</v>
      </c>
    </row>
    <row r="17" spans="2:19" x14ac:dyDescent="0.25">
      <c r="B17" s="81" t="s">
        <v>11</v>
      </c>
      <c r="C17" s="21">
        <v>0</v>
      </c>
      <c r="D17" s="65"/>
      <c r="E17" s="99" t="s">
        <v>11</v>
      </c>
      <c r="P17" s="85">
        <v>11000</v>
      </c>
      <c r="S17" s="148">
        <f t="shared" si="0"/>
        <v>0</v>
      </c>
    </row>
    <row r="18" spans="2:19" x14ac:dyDescent="0.25">
      <c r="B18" s="81" t="s">
        <v>11</v>
      </c>
      <c r="C18" s="21">
        <v>0</v>
      </c>
      <c r="D18" s="65"/>
      <c r="E18" s="99" t="s">
        <v>11</v>
      </c>
      <c r="P18" s="85">
        <v>100</v>
      </c>
      <c r="S18" s="148">
        <f t="shared" si="0"/>
        <v>0</v>
      </c>
    </row>
    <row r="19" spans="2:19" x14ac:dyDescent="0.25">
      <c r="B19" s="81" t="s">
        <v>11</v>
      </c>
      <c r="C19" s="65"/>
      <c r="D19" s="65"/>
      <c r="E19" s="3" t="s">
        <v>11</v>
      </c>
      <c r="P19" s="85">
        <v>275000</v>
      </c>
      <c r="S19" s="148">
        <f t="shared" si="0"/>
        <v>0</v>
      </c>
    </row>
    <row r="20" spans="2:19" x14ac:dyDescent="0.25">
      <c r="B20" s="9" t="s">
        <v>17</v>
      </c>
      <c r="C20" s="65"/>
      <c r="D20" s="65"/>
      <c r="E20" s="3" t="s">
        <v>11</v>
      </c>
      <c r="P20" s="85">
        <v>780000</v>
      </c>
      <c r="S20" s="148">
        <f t="shared" si="0"/>
        <v>0</v>
      </c>
    </row>
    <row r="21" spans="2:19" x14ac:dyDescent="0.25">
      <c r="B21" s="4" t="s">
        <v>13</v>
      </c>
      <c r="C21" s="20">
        <v>0.1</v>
      </c>
      <c r="D21" s="66"/>
      <c r="E21" s="34" t="s">
        <v>11</v>
      </c>
      <c r="P21" s="85">
        <v>100</v>
      </c>
      <c r="S21" s="148">
        <f t="shared" si="0"/>
        <v>0</v>
      </c>
    </row>
    <row r="22" spans="2:19" x14ac:dyDescent="0.25">
      <c r="B22" s="4" t="str">
        <f>B12</f>
        <v>Town Administration and Engineering</v>
      </c>
      <c r="C22" s="20"/>
      <c r="D22" s="66"/>
      <c r="E22" s="34" t="s">
        <v>11</v>
      </c>
      <c r="P22" s="85">
        <v>10500</v>
      </c>
      <c r="S22" s="148">
        <f t="shared" si="0"/>
        <v>0</v>
      </c>
    </row>
    <row r="23" spans="2:19" x14ac:dyDescent="0.25">
      <c r="B23" s="37" t="str">
        <f>B13</f>
        <v>Town Administration</v>
      </c>
      <c r="C23" s="20">
        <v>0.03</v>
      </c>
      <c r="D23" s="66"/>
      <c r="E23" s="99"/>
      <c r="P23" s="85">
        <v>475000</v>
      </c>
      <c r="S23" s="148">
        <f t="shared" si="0"/>
        <v>0</v>
      </c>
    </row>
    <row r="24" spans="2:19" x14ac:dyDescent="0.25">
      <c r="B24" s="37" t="str">
        <f>B14</f>
        <v>Engineering - Planning/Consultation</v>
      </c>
      <c r="C24" s="20">
        <v>0</v>
      </c>
      <c r="D24" s="66"/>
      <c r="E24" s="99"/>
    </row>
    <row r="25" spans="2:19" x14ac:dyDescent="0.25">
      <c r="B25" s="37" t="str">
        <f>B15</f>
        <v>Engineering - Design</v>
      </c>
      <c r="C25" s="20">
        <v>0</v>
      </c>
      <c r="D25" s="66"/>
      <c r="E25" s="99"/>
    </row>
    <row r="26" spans="2:19" x14ac:dyDescent="0.25">
      <c r="B26" s="37" t="str">
        <f>B16</f>
        <v>Engineering - Construction</v>
      </c>
      <c r="C26" s="20">
        <v>0</v>
      </c>
      <c r="D26" s="66"/>
      <c r="E26" s="99"/>
    </row>
    <row r="27" spans="2:19" x14ac:dyDescent="0.25">
      <c r="B27" s="81" t="s">
        <v>11</v>
      </c>
      <c r="C27" s="21">
        <v>0</v>
      </c>
      <c r="D27" s="65"/>
      <c r="E27" s="99" t="s">
        <v>11</v>
      </c>
    </row>
    <row r="28" spans="2:19" x14ac:dyDescent="0.25">
      <c r="B28" s="81" t="s">
        <v>11</v>
      </c>
      <c r="C28" s="21">
        <v>0</v>
      </c>
      <c r="D28" s="65"/>
      <c r="E28" s="99" t="s">
        <v>11</v>
      </c>
    </row>
    <row r="29" spans="2:19" x14ac:dyDescent="0.25">
      <c r="B29" s="81" t="s">
        <v>11</v>
      </c>
      <c r="C29" s="21">
        <v>0</v>
      </c>
      <c r="D29" s="65"/>
      <c r="E29" s="99" t="s">
        <v>11</v>
      </c>
    </row>
    <row r="30" spans="2:19" x14ac:dyDescent="0.25">
      <c r="B30" s="81" t="s">
        <v>11</v>
      </c>
      <c r="C30" s="21">
        <v>0</v>
      </c>
      <c r="D30" s="65"/>
      <c r="E30" s="99" t="s">
        <v>11</v>
      </c>
    </row>
    <row r="31" spans="2:19" x14ac:dyDescent="0.25">
      <c r="B31" s="16"/>
      <c r="C31" s="1"/>
      <c r="D31" s="1"/>
      <c r="E31" s="2"/>
    </row>
    <row r="32" spans="2:19" x14ac:dyDescent="0.25">
      <c r="B32" s="9" t="s">
        <v>57</v>
      </c>
      <c r="C32" s="1"/>
      <c r="D32" s="1"/>
      <c r="E32" s="2"/>
    </row>
    <row r="33" spans="2:9" x14ac:dyDescent="0.25">
      <c r="B33" s="7" t="s">
        <v>12</v>
      </c>
      <c r="C33" s="20">
        <v>0.05</v>
      </c>
      <c r="D33" s="66"/>
      <c r="E33" s="22"/>
    </row>
    <row r="34" spans="2:9" x14ac:dyDescent="0.25">
      <c r="B34" s="4" t="s">
        <v>6</v>
      </c>
      <c r="C34" s="20">
        <v>0.22</v>
      </c>
      <c r="D34" s="66"/>
      <c r="E34" s="23"/>
    </row>
    <row r="35" spans="2:9" x14ac:dyDescent="0.25">
      <c r="B35" s="4" t="s">
        <v>13</v>
      </c>
      <c r="C35" s="20">
        <v>0.3</v>
      </c>
      <c r="D35" s="66"/>
      <c r="E35" s="99" t="s">
        <v>11</v>
      </c>
    </row>
    <row r="36" spans="2:9" x14ac:dyDescent="0.25">
      <c r="B36" s="4" t="str">
        <f>B12</f>
        <v>Town Administration and Engineering</v>
      </c>
      <c r="C36" s="20"/>
      <c r="D36" s="66"/>
      <c r="E36" s="113">
        <f>SUM(C37:C40)</f>
        <v>0.28000000000000003</v>
      </c>
    </row>
    <row r="37" spans="2:9" x14ac:dyDescent="0.25">
      <c r="B37" s="37" t="str">
        <f>B13</f>
        <v>Town Administration</v>
      </c>
      <c r="C37" s="20">
        <v>0.03</v>
      </c>
      <c r="D37" s="66"/>
      <c r="E37" s="99"/>
    </row>
    <row r="38" spans="2:9" x14ac:dyDescent="0.25">
      <c r="B38" s="37" t="str">
        <f t="shared" ref="B38:B40" si="1">B14</f>
        <v>Engineering - Planning/Consultation</v>
      </c>
      <c r="C38" s="20">
        <v>0</v>
      </c>
      <c r="D38" s="66"/>
      <c r="E38" s="99"/>
    </row>
    <row r="39" spans="2:9" x14ac:dyDescent="0.25">
      <c r="B39" s="37" t="str">
        <f t="shared" si="1"/>
        <v>Engineering - Design</v>
      </c>
      <c r="C39" s="20">
        <v>0.1</v>
      </c>
      <c r="D39" s="66"/>
      <c r="E39" s="99"/>
    </row>
    <row r="40" spans="2:9" x14ac:dyDescent="0.25">
      <c r="B40" s="37" t="str">
        <f t="shared" si="1"/>
        <v>Engineering - Construction</v>
      </c>
      <c r="C40" s="20">
        <v>0.15</v>
      </c>
      <c r="D40" s="66"/>
      <c r="E40" s="99"/>
    </row>
    <row r="41" spans="2:9" x14ac:dyDescent="0.25">
      <c r="B41" s="81" t="s">
        <v>11</v>
      </c>
      <c r="C41" s="21">
        <v>0</v>
      </c>
      <c r="D41" s="65"/>
      <c r="E41" s="99" t="s">
        <v>11</v>
      </c>
    </row>
    <row r="42" spans="2:9" x14ac:dyDescent="0.25">
      <c r="B42" s="81" t="s">
        <v>11</v>
      </c>
      <c r="C42" s="21">
        <v>0</v>
      </c>
      <c r="D42" s="65"/>
      <c r="E42" s="99" t="s">
        <v>11</v>
      </c>
    </row>
    <row r="43" spans="2:9" x14ac:dyDescent="0.25">
      <c r="B43" s="81" t="s">
        <v>11</v>
      </c>
      <c r="C43" s="65"/>
      <c r="D43" s="65"/>
      <c r="E43" s="3" t="s">
        <v>11</v>
      </c>
    </row>
    <row r="44" spans="2:9" x14ac:dyDescent="0.25">
      <c r="B44" s="9" t="s">
        <v>16</v>
      </c>
      <c r="C44" s="65"/>
      <c r="D44" s="65"/>
      <c r="E44" s="3" t="s">
        <v>11</v>
      </c>
    </row>
    <row r="45" spans="2:9" x14ac:dyDescent="0.25">
      <c r="B45" s="4" t="s">
        <v>13</v>
      </c>
      <c r="C45" s="20">
        <v>0.1</v>
      </c>
      <c r="D45" s="66"/>
      <c r="E45" s="34" t="s">
        <v>11</v>
      </c>
    </row>
    <row r="46" spans="2:9" ht="12.75" x14ac:dyDescent="0.2">
      <c r="B46" s="4" t="str">
        <f>B12</f>
        <v>Town Administration and Engineering</v>
      </c>
      <c r="C46" s="20"/>
      <c r="D46" s="66"/>
      <c r="E46" s="35"/>
      <c r="G46" s="85"/>
      <c r="H46" s="85"/>
      <c r="I46" s="85"/>
    </row>
    <row r="47" spans="2:9" x14ac:dyDescent="0.25">
      <c r="B47" s="37" t="str">
        <f>B13</f>
        <v>Town Administration</v>
      </c>
      <c r="C47" s="20">
        <v>0.05</v>
      </c>
      <c r="D47" s="66"/>
      <c r="E47" s="99"/>
    </row>
    <row r="48" spans="2:9" x14ac:dyDescent="0.25">
      <c r="B48" s="37" t="str">
        <f t="shared" ref="B48:B50" si="2">B14</f>
        <v>Engineering - Planning/Consultation</v>
      </c>
      <c r="C48" s="20">
        <v>0.03</v>
      </c>
      <c r="D48" s="66"/>
      <c r="E48" s="99"/>
    </row>
    <row r="49" spans="2:5" x14ac:dyDescent="0.25">
      <c r="B49" s="37" t="str">
        <f t="shared" si="2"/>
        <v>Engineering - Design</v>
      </c>
      <c r="C49" s="20">
        <v>0</v>
      </c>
      <c r="D49" s="66"/>
      <c r="E49" s="99"/>
    </row>
    <row r="50" spans="2:5" x14ac:dyDescent="0.25">
      <c r="B50" s="37" t="str">
        <f t="shared" si="2"/>
        <v>Engineering - Construction</v>
      </c>
      <c r="C50" s="20">
        <v>0</v>
      </c>
      <c r="D50" s="66"/>
      <c r="E50" s="99"/>
    </row>
    <row r="51" spans="2:5" x14ac:dyDescent="0.25">
      <c r="B51" s="81" t="s">
        <v>11</v>
      </c>
      <c r="C51" s="21">
        <v>0</v>
      </c>
      <c r="D51" s="65"/>
      <c r="E51" s="99" t="s">
        <v>11</v>
      </c>
    </row>
    <row r="52" spans="2:5" x14ac:dyDescent="0.25">
      <c r="B52" s="81" t="s">
        <v>11</v>
      </c>
      <c r="C52" s="21">
        <v>0</v>
      </c>
      <c r="D52" s="65"/>
      <c r="E52" s="99" t="s">
        <v>11</v>
      </c>
    </row>
    <row r="53" spans="2:5" x14ac:dyDescent="0.25">
      <c r="B53" s="81" t="s">
        <v>11</v>
      </c>
      <c r="C53" s="21">
        <v>0</v>
      </c>
      <c r="D53" s="65"/>
      <c r="E53" s="35"/>
    </row>
    <row r="54" spans="2:5" x14ac:dyDescent="0.25">
      <c r="B54" s="81" t="s">
        <v>11</v>
      </c>
      <c r="C54" s="21">
        <v>0</v>
      </c>
      <c r="D54" s="65"/>
      <c r="E54" s="35"/>
    </row>
    <row r="55" spans="2:5" ht="15.75" thickBot="1" x14ac:dyDescent="0.3">
      <c r="B55" s="5"/>
      <c r="C55" s="6"/>
      <c r="D55" s="6"/>
      <c r="E55" s="80"/>
    </row>
    <row r="56" spans="2:5" x14ac:dyDescent="0.25">
      <c r="B56" s="16"/>
      <c r="C56" s="1"/>
      <c r="D56" s="1"/>
      <c r="E56" s="77"/>
    </row>
    <row r="57" spans="2:5" s="1" customFormat="1" ht="12.75" x14ac:dyDescent="0.2">
      <c r="B57" s="16" t="s">
        <v>35</v>
      </c>
      <c r="C57" s="24">
        <v>10182</v>
      </c>
      <c r="E57" s="36" t="s">
        <v>139</v>
      </c>
    </row>
    <row r="58" spans="2:5" ht="15.75" thickBot="1" x14ac:dyDescent="0.3">
      <c r="B58" s="5"/>
      <c r="C58" s="6"/>
      <c r="D58" s="6"/>
      <c r="E58" s="80"/>
    </row>
  </sheetData>
  <sheetProtection password="E40A" sheet="1" objects="1" scenarios="1"/>
  <sortState ref="G8:I13">
    <sortCondition ref="G8"/>
  </sortState>
  <printOptions horizontalCentered="1"/>
  <pageMargins left="0.7" right="0.7" top="0.75" bottom="0.75" header="0.3" footer="0.3"/>
  <pageSetup scale="77" orientation="portrait" r:id="rId1"/>
  <headerFooter>
    <oddFooter>&amp;LAECOM Technical Services, Inc.
Pocasset, MA&amp;RPage &amp;P of &amp;N
Revised: March 18, 2016</oddFooter>
  </headerFooter>
  <ignoredErrors>
    <ignoredError sqref="E36"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B2:E30"/>
  <sheetViews>
    <sheetView zoomScaleNormal="100" workbookViewId="0">
      <selection activeCell="B8" sqref="B8"/>
    </sheetView>
  </sheetViews>
  <sheetFormatPr defaultRowHeight="12.75" x14ac:dyDescent="0.2"/>
  <cols>
    <col min="1" max="1" width="2.7109375" style="85" customWidth="1"/>
    <col min="2" max="2" width="9.140625" style="85"/>
    <col min="3" max="3" width="2.7109375" style="85" customWidth="1"/>
    <col min="4" max="4" width="45.7109375" style="85" customWidth="1"/>
    <col min="5" max="5" width="2.7109375" style="85" customWidth="1"/>
    <col min="6" max="16384" width="9.140625" style="85"/>
  </cols>
  <sheetData>
    <row r="2" spans="2:5" x14ac:dyDescent="0.2">
      <c r="B2" s="83" t="s">
        <v>7</v>
      </c>
      <c r="C2" s="84"/>
      <c r="D2" s="84"/>
    </row>
    <row r="3" spans="2:5" x14ac:dyDescent="0.2">
      <c r="B3" s="83" t="s">
        <v>8</v>
      </c>
      <c r="C3" s="84"/>
      <c r="D3" s="84"/>
    </row>
    <row r="4" spans="2:5" x14ac:dyDescent="0.2">
      <c r="B4" s="83" t="s">
        <v>30</v>
      </c>
      <c r="C4" s="84"/>
      <c r="D4" s="84"/>
    </row>
    <row r="5" spans="2:5" ht="13.5" thickBot="1" x14ac:dyDescent="0.25"/>
    <row r="6" spans="2:5" ht="13.5" thickBot="1" x14ac:dyDescent="0.25">
      <c r="B6" s="86" t="s">
        <v>1</v>
      </c>
      <c r="C6" s="87"/>
      <c r="D6" s="10" t="s">
        <v>25</v>
      </c>
    </row>
    <row r="7" spans="2:5" x14ac:dyDescent="0.2">
      <c r="B7" s="11"/>
      <c r="C7" s="12"/>
      <c r="D7" s="13"/>
    </row>
    <row r="8" spans="2:5" x14ac:dyDescent="0.2">
      <c r="B8" s="17" t="s">
        <v>29</v>
      </c>
      <c r="C8" s="1"/>
      <c r="D8" s="19" t="s">
        <v>23</v>
      </c>
    </row>
    <row r="9" spans="2:5" x14ac:dyDescent="0.2">
      <c r="B9" s="18" t="s">
        <v>34</v>
      </c>
      <c r="C9" s="1"/>
      <c r="D9" s="19" t="s">
        <v>33</v>
      </c>
    </row>
    <row r="10" spans="2:5" x14ac:dyDescent="0.2">
      <c r="B10" s="17" t="s">
        <v>22</v>
      </c>
      <c r="C10" s="1"/>
      <c r="D10" s="19" t="s">
        <v>27</v>
      </c>
    </row>
    <row r="11" spans="2:5" x14ac:dyDescent="0.2">
      <c r="B11" s="18" t="s">
        <v>75</v>
      </c>
      <c r="C11" s="1"/>
      <c r="D11" s="19" t="s">
        <v>75</v>
      </c>
    </row>
    <row r="12" spans="2:5" x14ac:dyDescent="0.2">
      <c r="B12" s="18" t="s">
        <v>56</v>
      </c>
      <c r="C12" s="1"/>
      <c r="D12" s="19" t="s">
        <v>49</v>
      </c>
    </row>
    <row r="13" spans="2:5" x14ac:dyDescent="0.2">
      <c r="B13" s="18" t="s">
        <v>47</v>
      </c>
      <c r="C13" s="1"/>
      <c r="D13" s="19" t="s">
        <v>48</v>
      </c>
    </row>
    <row r="14" spans="2:5" x14ac:dyDescent="0.2">
      <c r="B14" s="17" t="s">
        <v>21</v>
      </c>
      <c r="C14" s="1"/>
      <c r="D14" s="19" t="s">
        <v>26</v>
      </c>
    </row>
    <row r="15" spans="2:5" x14ac:dyDescent="0.2">
      <c r="B15" s="18" t="s">
        <v>31</v>
      </c>
      <c r="C15" s="1"/>
      <c r="D15" s="19" t="s">
        <v>32</v>
      </c>
    </row>
    <row r="16" spans="2:5" x14ac:dyDescent="0.2">
      <c r="B16" s="17" t="s">
        <v>24</v>
      </c>
      <c r="C16" s="1"/>
      <c r="D16" s="19" t="s">
        <v>28</v>
      </c>
      <c r="E16" s="116"/>
    </row>
    <row r="17" spans="2:4" x14ac:dyDescent="0.2">
      <c r="B17" s="18" t="s">
        <v>65</v>
      </c>
      <c r="C17" s="1"/>
      <c r="D17" s="19" t="s">
        <v>65</v>
      </c>
    </row>
    <row r="18" spans="2:4" x14ac:dyDescent="0.2">
      <c r="B18" s="18" t="s">
        <v>50</v>
      </c>
      <c r="C18" s="1"/>
      <c r="D18" s="19" t="s">
        <v>52</v>
      </c>
    </row>
    <row r="19" spans="2:4" x14ac:dyDescent="0.2">
      <c r="B19" s="18" t="s">
        <v>55</v>
      </c>
      <c r="C19" s="1"/>
      <c r="D19" s="19" t="s">
        <v>51</v>
      </c>
    </row>
    <row r="20" spans="2:4" x14ac:dyDescent="0.2">
      <c r="B20" s="18" t="s">
        <v>11</v>
      </c>
      <c r="C20" s="1"/>
      <c r="D20" s="19"/>
    </row>
    <row r="21" spans="2:4" x14ac:dyDescent="0.2">
      <c r="B21" s="18" t="s">
        <v>11</v>
      </c>
      <c r="C21" s="1"/>
      <c r="D21" s="19"/>
    </row>
    <row r="22" spans="2:4" x14ac:dyDescent="0.2">
      <c r="B22" s="18" t="s">
        <v>11</v>
      </c>
      <c r="C22" s="1"/>
      <c r="D22" s="19"/>
    </row>
    <row r="23" spans="2:4" ht="13.5" thickBot="1" x14ac:dyDescent="0.25">
      <c r="B23" s="14"/>
      <c r="C23" s="6"/>
      <c r="D23" s="15"/>
    </row>
    <row r="30" spans="2:4" s="1" customFormat="1" x14ac:dyDescent="0.2"/>
  </sheetData>
  <sheetProtection password="E40A" sheet="1" objects="1" scenarios="1"/>
  <sortState ref="B8:D19">
    <sortCondition ref="B8"/>
  </sortState>
  <printOptions horizontalCentered="1"/>
  <pageMargins left="0.7" right="0.7" top="0.75" bottom="0.75" header="0.3" footer="0.3"/>
  <pageSetup orientation="portrait" r:id="rId1"/>
  <headerFooter>
    <oddFooter>&amp;LAECOM Technical Services, Inc.
Pocasset, MA&amp;RPage &amp;P of &amp;N
Revised: March 18,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AB26"/>
  <sheetViews>
    <sheetView zoomScale="75" zoomScaleNormal="75" workbookViewId="0">
      <selection activeCell="R40" sqref="R40"/>
    </sheetView>
  </sheetViews>
  <sheetFormatPr defaultRowHeight="12.75" x14ac:dyDescent="0.2"/>
  <cols>
    <col min="1" max="1" width="2.7109375" style="60" customWidth="1"/>
    <col min="2" max="4" width="9.140625" style="60"/>
    <col min="5" max="5" width="6.7109375" style="97" customWidth="1"/>
    <col min="6" max="10" width="16.7109375" style="60" customWidth="1"/>
    <col min="11" max="11" width="2.7109375" style="60" customWidth="1"/>
    <col min="12" max="14" width="9.140625" style="60"/>
    <col min="15" max="15" width="2.7109375" style="60" customWidth="1"/>
    <col min="16" max="16384" width="9.140625" style="60"/>
  </cols>
  <sheetData>
    <row r="1" spans="2:28" x14ac:dyDescent="0.2">
      <c r="B1" s="213"/>
    </row>
    <row r="2" spans="2:28" x14ac:dyDescent="0.2">
      <c r="B2" s="214" t="s">
        <v>7</v>
      </c>
      <c r="C2" s="74"/>
      <c r="D2" s="74"/>
      <c r="E2" s="74"/>
      <c r="F2" s="74"/>
      <c r="G2" s="74"/>
      <c r="H2" s="74"/>
      <c r="I2" s="74"/>
      <c r="J2" s="74"/>
      <c r="K2" s="74"/>
      <c r="L2" s="74"/>
      <c r="M2" s="74"/>
      <c r="N2" s="74"/>
      <c r="O2" s="215" t="s">
        <v>11</v>
      </c>
      <c r="P2" s="74"/>
      <c r="Q2" s="74"/>
      <c r="R2" s="74"/>
      <c r="S2" s="74"/>
      <c r="T2" s="74"/>
      <c r="U2" s="74"/>
      <c r="V2" s="74"/>
      <c r="W2" s="74"/>
      <c r="X2" s="74"/>
      <c r="Y2" s="74"/>
      <c r="Z2" s="74"/>
      <c r="AA2" s="74"/>
      <c r="AB2" s="74"/>
    </row>
    <row r="3" spans="2:28" x14ac:dyDescent="0.2">
      <c r="B3" s="214" t="s">
        <v>275</v>
      </c>
      <c r="C3" s="74"/>
      <c r="D3" s="74"/>
      <c r="E3" s="74"/>
      <c r="F3" s="74"/>
      <c r="G3" s="74"/>
      <c r="H3" s="74"/>
      <c r="I3" s="74"/>
      <c r="J3" s="74"/>
      <c r="K3" s="74"/>
      <c r="L3" s="74"/>
      <c r="M3" s="74"/>
      <c r="N3" s="74"/>
      <c r="O3" s="215" t="s">
        <v>11</v>
      </c>
      <c r="P3" s="74"/>
      <c r="Q3" s="74"/>
      <c r="R3" s="74"/>
      <c r="S3" s="74"/>
      <c r="T3" s="74"/>
      <c r="U3" s="74"/>
      <c r="V3" s="74"/>
      <c r="W3" s="74"/>
      <c r="X3" s="74"/>
      <c r="Y3" s="74"/>
      <c r="Z3" s="74"/>
      <c r="AA3" s="74"/>
      <c r="AB3" s="74"/>
    </row>
    <row r="4" spans="2:28" x14ac:dyDescent="0.2">
      <c r="B4" s="214" t="s">
        <v>279</v>
      </c>
      <c r="C4" s="74"/>
      <c r="D4" s="74"/>
      <c r="E4" s="74"/>
      <c r="F4" s="74"/>
      <c r="G4" s="74"/>
      <c r="H4" s="74"/>
      <c r="I4" s="74"/>
      <c r="J4" s="74"/>
      <c r="K4" s="74"/>
      <c r="L4" s="74"/>
      <c r="M4" s="74"/>
      <c r="N4" s="74"/>
      <c r="O4" s="215" t="s">
        <v>11</v>
      </c>
      <c r="P4" s="74"/>
      <c r="Q4" s="74"/>
      <c r="R4" s="74"/>
      <c r="S4" s="74"/>
      <c r="T4" s="74"/>
      <c r="U4" s="74"/>
      <c r="V4" s="74"/>
      <c r="W4" s="74"/>
      <c r="X4" s="74"/>
      <c r="Y4" s="74"/>
      <c r="Z4" s="74"/>
      <c r="AA4" s="74"/>
      <c r="AB4" s="74"/>
    </row>
    <row r="6" spans="2:28" ht="25.5" x14ac:dyDescent="0.2">
      <c r="E6" s="216" t="s">
        <v>272</v>
      </c>
      <c r="F6" s="216" t="str">
        <f>'Phasing - Data'!D8</f>
        <v>Capital Cost</v>
      </c>
      <c r="G6" s="217" t="str">
        <f>'Phasing - Data'!E8</f>
        <v>Annual O&amp;M Cost</v>
      </c>
      <c r="H6" s="217" t="str">
        <f>'Phasing - Data'!F8</f>
        <v>Replacement Cost</v>
      </c>
      <c r="I6" s="217" t="str">
        <f>'Phasing - Data'!G8</f>
        <v>Annual Monitoring Cost</v>
      </c>
      <c r="J6" s="216" t="s">
        <v>93</v>
      </c>
    </row>
    <row r="7" spans="2:28" x14ac:dyDescent="0.2">
      <c r="E7" s="97">
        <v>1</v>
      </c>
      <c r="F7" s="218">
        <f>'Phasing - Data'!AC292</f>
        <v>2405325</v>
      </c>
      <c r="G7" s="218">
        <f>'Phasing - Data'!AD292</f>
        <v>0</v>
      </c>
      <c r="H7" s="218">
        <f>'Phasing - Data'!AE292</f>
        <v>0</v>
      </c>
      <c r="I7" s="218">
        <f>'Phasing - Data'!AF292</f>
        <v>0</v>
      </c>
      <c r="J7" s="218">
        <f>SUM(F7:I7)</f>
        <v>2405325</v>
      </c>
    </row>
    <row r="8" spans="2:28" x14ac:dyDescent="0.2">
      <c r="E8" s="97">
        <f>E7+1</f>
        <v>2</v>
      </c>
      <c r="F8" s="218">
        <f>'Phasing - Data'!AG294</f>
        <v>11608293.536999999</v>
      </c>
      <c r="G8" s="218">
        <f>'Phasing - Data'!AH294</f>
        <v>764272.35999999987</v>
      </c>
      <c r="H8" s="218">
        <f>'Phasing - Data'!AI294</f>
        <v>0</v>
      </c>
      <c r="I8" s="218">
        <f>'Phasing - Data'!AJ294</f>
        <v>344580.31999999995</v>
      </c>
      <c r="J8" s="218">
        <f t="shared" ref="J8:J26" si="0">SUM(F8:I8)</f>
        <v>12717146.216999998</v>
      </c>
    </row>
    <row r="9" spans="2:28" x14ac:dyDescent="0.2">
      <c r="E9" s="97">
        <f t="shared" ref="E9:E26" si="1">E8+1</f>
        <v>3</v>
      </c>
      <c r="F9" s="218">
        <f>'Phasing - Data'!AK294</f>
        <v>65224328.266499996</v>
      </c>
      <c r="G9" s="218">
        <f>'Phasing - Data'!AL294</f>
        <v>787200.53080000007</v>
      </c>
      <c r="H9" s="218">
        <f>'Phasing - Data'!AM294</f>
        <v>46550.1702</v>
      </c>
      <c r="I9" s="218">
        <f>'Phasing - Data'!AN294</f>
        <v>939089.58380000014</v>
      </c>
      <c r="J9" s="218">
        <f t="shared" si="0"/>
        <v>66997168.551299997</v>
      </c>
    </row>
    <row r="10" spans="2:28" x14ac:dyDescent="0.2">
      <c r="E10" s="97">
        <f t="shared" si="1"/>
        <v>4</v>
      </c>
      <c r="F10" s="218">
        <f>'Phasing - Data'!AO294</f>
        <v>6372630.8822199991</v>
      </c>
      <c r="G10" s="218">
        <f>'Phasing - Data'!AP294</f>
        <v>2746579.1490429998</v>
      </c>
      <c r="H10" s="218">
        <f>'Phasing - Data'!AQ294</f>
        <v>1884270.5742614998</v>
      </c>
      <c r="I10" s="218">
        <f>'Phasing - Data'!AR294</f>
        <v>1316226.2778544999</v>
      </c>
      <c r="J10" s="218">
        <f t="shared" si="0"/>
        <v>12319706.883378999</v>
      </c>
    </row>
    <row r="11" spans="2:28" x14ac:dyDescent="0.2">
      <c r="E11" s="97">
        <f t="shared" si="1"/>
        <v>5</v>
      </c>
      <c r="F11" s="218">
        <f>'Phasing - Data'!AS294</f>
        <v>17760658.45531315</v>
      </c>
      <c r="G11" s="218">
        <f>'Phasing - Data'!AT294</f>
        <v>1993835.4803885696</v>
      </c>
      <c r="H11" s="218">
        <f>'Phasing - Data'!AU294</f>
        <v>1755082.9847864849</v>
      </c>
      <c r="I11" s="218">
        <f>'Phasing - Data'!AV294</f>
        <v>359432.9267367149</v>
      </c>
      <c r="J11" s="218">
        <f t="shared" si="0"/>
        <v>21869009.847224921</v>
      </c>
    </row>
    <row r="12" spans="2:28" x14ac:dyDescent="0.2">
      <c r="E12" s="97">
        <f t="shared" si="1"/>
        <v>6</v>
      </c>
      <c r="F12" s="218">
        <f>'Phasing - Data'!AW294</f>
        <v>19588571.210833829</v>
      </c>
      <c r="G12" s="218">
        <f>'Phasing - Data'!AX294</f>
        <v>3021668.7415962871</v>
      </c>
      <c r="H12" s="218">
        <f>'Phasing - Data'!AY294</f>
        <v>1833586.7065499322</v>
      </c>
      <c r="I12" s="218">
        <f>'Phasing - Data'!AZ294</f>
        <v>660072.10952123115</v>
      </c>
      <c r="J12" s="218">
        <f t="shared" si="0"/>
        <v>25103898.768501278</v>
      </c>
    </row>
    <row r="13" spans="2:28" x14ac:dyDescent="0.2">
      <c r="E13" s="97">
        <f t="shared" si="1"/>
        <v>7</v>
      </c>
      <c r="F13" s="218">
        <f>'Phasing - Data'!BA294</f>
        <v>34224007.521644212</v>
      </c>
      <c r="G13" s="218">
        <f>'Phasing - Data'!BB294</f>
        <v>3112318.8038441762</v>
      </c>
      <c r="H13" s="218">
        <f>'Phasing - Data'!BC294</f>
        <v>2937430.7401807592</v>
      </c>
      <c r="I13" s="218">
        <f>'Phasing - Data'!BD294</f>
        <v>2063974.3209560169</v>
      </c>
      <c r="J13" s="218">
        <f t="shared" si="0"/>
        <v>42337731.386625163</v>
      </c>
    </row>
    <row r="14" spans="2:28" x14ac:dyDescent="0.2">
      <c r="E14" s="97">
        <f t="shared" si="1"/>
        <v>8</v>
      </c>
      <c r="F14" s="218">
        <f>'Phasing - Data'!BE294</f>
        <v>51262384.883512646</v>
      </c>
      <c r="G14" s="218">
        <f>'Phasing - Data'!BF294</f>
        <v>3377969.0990282167</v>
      </c>
      <c r="H14" s="218">
        <f>'Phasing - Data'!BG294</f>
        <v>3619668.8305569733</v>
      </c>
      <c r="I14" s="218">
        <f>'Phasing - Data'!BH294</f>
        <v>3056969.560404595</v>
      </c>
      <c r="J14" s="218">
        <f t="shared" si="0"/>
        <v>61316992.373502433</v>
      </c>
    </row>
    <row r="15" spans="2:28" x14ac:dyDescent="0.2">
      <c r="E15" s="97">
        <f t="shared" si="1"/>
        <v>9</v>
      </c>
      <c r="F15" s="218">
        <f>'Phasing - Data'!BI294</f>
        <v>1304773.1838292445</v>
      </c>
      <c r="G15" s="218">
        <f>'Phasing - Data'!BJ294</f>
        <v>4512949.4882285902</v>
      </c>
      <c r="H15" s="218">
        <f>'Phasing - Data'!BK294</f>
        <v>4128563.3082724949</v>
      </c>
      <c r="I15" s="218">
        <f>'Phasing - Data'!BL294</f>
        <v>3200608.6199331367</v>
      </c>
      <c r="J15" s="218">
        <f t="shared" si="0"/>
        <v>13146894.600263465</v>
      </c>
    </row>
    <row r="16" spans="2:28" x14ac:dyDescent="0.2">
      <c r="E16" s="97">
        <f t="shared" si="1"/>
        <v>10</v>
      </c>
      <c r="F16" s="218">
        <f>'Phasing - Data'!BM294</f>
        <v>2764301.600672924</v>
      </c>
      <c r="G16" s="218">
        <f>'Phasing - Data'!BN294</f>
        <v>4648337.9728754489</v>
      </c>
      <c r="H16" s="218">
        <f>'Phasing - Data'!BO294</f>
        <v>4252420.2075206703</v>
      </c>
      <c r="I16" s="218">
        <f>'Phasing - Data'!BP294</f>
        <v>3296626.8785311305</v>
      </c>
      <c r="J16" s="218">
        <f t="shared" si="0"/>
        <v>14961686.659600174</v>
      </c>
    </row>
    <row r="17" spans="5:10" x14ac:dyDescent="0.2">
      <c r="E17" s="97">
        <f t="shared" si="1"/>
        <v>11</v>
      </c>
      <c r="F17" s="218">
        <f>'Phasing - Data'!BQ294</f>
        <v>1384233.8707244454</v>
      </c>
      <c r="G17" s="218">
        <f>'Phasing - Data'!BR294</f>
        <v>4803429.9548008982</v>
      </c>
      <c r="H17" s="218">
        <f>'Phasing - Data'!BS294</f>
        <v>4379992.8137462903</v>
      </c>
      <c r="I17" s="218">
        <f>'Phasing - Data'!BT294</f>
        <v>3410475.4106908888</v>
      </c>
      <c r="J17" s="218">
        <f t="shared" si="0"/>
        <v>13978132.049962522</v>
      </c>
    </row>
    <row r="18" spans="5:10" x14ac:dyDescent="0.2">
      <c r="E18" s="97">
        <f t="shared" si="1"/>
        <v>12</v>
      </c>
      <c r="F18" s="218">
        <f>'Phasing - Data'!BU294</f>
        <v>1425760.8868461787</v>
      </c>
      <c r="G18" s="218">
        <f>'Phasing - Data'!BV294</f>
        <v>4947532.8534449246</v>
      </c>
      <c r="H18" s="218">
        <f>'Phasing - Data'!BW294</f>
        <v>4511392.598158679</v>
      </c>
      <c r="I18" s="218">
        <f>'Phasing - Data'!BX294</f>
        <v>3512789.6730116149</v>
      </c>
      <c r="J18" s="218">
        <f t="shared" si="0"/>
        <v>14397476.011461399</v>
      </c>
    </row>
    <row r="19" spans="5:10" x14ac:dyDescent="0.2">
      <c r="E19" s="97">
        <f t="shared" si="1"/>
        <v>13</v>
      </c>
      <c r="F19" s="218">
        <f>'Phasing - Data'!BY294</f>
        <v>1468533.7134515638</v>
      </c>
      <c r="G19" s="218">
        <f>'Phasing - Data'!BZ294</f>
        <v>5095958.8390482729</v>
      </c>
      <c r="H19" s="218">
        <f>'Phasing - Data'!CA294</f>
        <v>4646734.3761034394</v>
      </c>
      <c r="I19" s="218">
        <f>'Phasing - Data'!CB294</f>
        <v>3618173.3632019632</v>
      </c>
      <c r="J19" s="218">
        <f t="shared" si="0"/>
        <v>14829400.291805239</v>
      </c>
    </row>
    <row r="20" spans="5:10" x14ac:dyDescent="0.2">
      <c r="E20" s="97">
        <f t="shared" si="1"/>
        <v>14</v>
      </c>
      <c r="F20" s="218">
        <f>'Phasing - Data'!CC294</f>
        <v>15735773.425612692</v>
      </c>
      <c r="G20" s="218">
        <f>'Phasing - Data'!CD294</f>
        <v>5248837.6042197198</v>
      </c>
      <c r="H20" s="218">
        <f>'Phasing - Data'!CE294</f>
        <v>4786136.4073865423</v>
      </c>
      <c r="I20" s="218">
        <f>'Phasing - Data'!CF294</f>
        <v>3726718.5640980219</v>
      </c>
      <c r="J20" s="218">
        <f t="shared" si="0"/>
        <v>29497466.001316976</v>
      </c>
    </row>
    <row r="21" spans="5:10" x14ac:dyDescent="0.2">
      <c r="E21" s="97">
        <f t="shared" si="1"/>
        <v>15</v>
      </c>
      <c r="F21" s="218">
        <f>'Phasing - Data'!CG294</f>
        <v>21032560.124110319</v>
      </c>
      <c r="G21" s="218">
        <f>'Phasing - Data'!CH294</f>
        <v>6341083.1823067712</v>
      </c>
      <c r="H21" s="218">
        <f>'Phasing - Data'!CI294</f>
        <v>5163415.6120982533</v>
      </c>
      <c r="I21" s="218">
        <f>'Phasing - Data'!CJ294</f>
        <v>3838520.1210209629</v>
      </c>
      <c r="J21" s="218">
        <f t="shared" si="0"/>
        <v>36375579.039536305</v>
      </c>
    </row>
    <row r="22" spans="5:10" x14ac:dyDescent="0.2">
      <c r="E22" s="97">
        <f t="shared" si="1"/>
        <v>16</v>
      </c>
      <c r="F22" s="218">
        <f>'Phasing - Data'!CK294</f>
        <v>1604706.439098787</v>
      </c>
      <c r="G22" s="218">
        <f>'Phasing - Data'!CL294</f>
        <v>6707833.3860768387</v>
      </c>
      <c r="H22" s="218">
        <f>'Phasing - Data'!CM294</f>
        <v>5318318.0804612003</v>
      </c>
      <c r="I22" s="218">
        <f>'Phasing - Data'!CN294</f>
        <v>3953675.7246515914</v>
      </c>
      <c r="J22" s="218">
        <f t="shared" si="0"/>
        <v>17584533.630288418</v>
      </c>
    </row>
    <row r="23" spans="5:10" x14ac:dyDescent="0.2">
      <c r="E23" s="97">
        <f t="shared" si="1"/>
        <v>17</v>
      </c>
      <c r="F23" s="218">
        <f>'Phasing - Data'!CO294</f>
        <v>1652847.6322717508</v>
      </c>
      <c r="G23" s="218">
        <f>'Phasing - Data'!CP294</f>
        <v>6909068.3876591465</v>
      </c>
      <c r="H23" s="218">
        <f>'Phasing - Data'!CQ294</f>
        <v>5477867.6228750367</v>
      </c>
      <c r="I23" s="218">
        <f>'Phasing - Data'!CR294</f>
        <v>4072285.9963911385</v>
      </c>
      <c r="J23" s="218">
        <f t="shared" si="0"/>
        <v>18112069.639197074</v>
      </c>
    </row>
    <row r="24" spans="5:10" x14ac:dyDescent="0.2">
      <c r="E24" s="97">
        <f t="shared" si="1"/>
        <v>18</v>
      </c>
      <c r="F24" s="218">
        <f>'Phasing - Data'!CS294</f>
        <v>1702433.0612399033</v>
      </c>
      <c r="G24" s="218">
        <f>'Phasing - Data'!CT294</f>
        <v>7116340.4392889189</v>
      </c>
      <c r="H24" s="218">
        <f>'Phasing - Data'!CU294</f>
        <v>5642203.6515612882</v>
      </c>
      <c r="I24" s="218">
        <f>'Phasing - Data'!CV294</f>
        <v>4194454.5762828737</v>
      </c>
      <c r="J24" s="218">
        <f t="shared" si="0"/>
        <v>18655431.728372984</v>
      </c>
    </row>
    <row r="25" spans="5:10" x14ac:dyDescent="0.2">
      <c r="E25" s="97">
        <f t="shared" si="1"/>
        <v>19</v>
      </c>
      <c r="F25" s="218">
        <f>'Phasing - Data'!CW294</f>
        <v>1753506.0530771003</v>
      </c>
      <c r="G25" s="218">
        <f>'Phasing - Data'!CX294</f>
        <v>7329830.652467588</v>
      </c>
      <c r="H25" s="218">
        <f>'Phasing - Data'!CY294</f>
        <v>5811469.7611081256</v>
      </c>
      <c r="I25" s="218">
        <f>'Phasing - Data'!CZ294</f>
        <v>4320288.2135713603</v>
      </c>
      <c r="J25" s="218">
        <f t="shared" si="0"/>
        <v>19215094.680224173</v>
      </c>
    </row>
    <row r="26" spans="5:10" x14ac:dyDescent="0.2">
      <c r="E26" s="219">
        <f t="shared" si="1"/>
        <v>20</v>
      </c>
      <c r="F26" s="220">
        <f>'Phasing - Data'!DA294</f>
        <v>1806111.2346694134</v>
      </c>
      <c r="G26" s="220">
        <f>'Phasing - Data'!DB294</f>
        <v>7549725.5720416149</v>
      </c>
      <c r="H26" s="220">
        <f>'Phasing - Data'!DC294</f>
        <v>5985813.8539413698</v>
      </c>
      <c r="I26" s="220">
        <f>'Phasing - Data'!DD294</f>
        <v>4449896.8599785008</v>
      </c>
      <c r="J26" s="220">
        <f t="shared" si="0"/>
        <v>19791547.5206309</v>
      </c>
    </row>
  </sheetData>
  <sheetProtection password="E40A" sheet="1" objects="1" scenarios="1"/>
  <printOptions horizontalCentered="1"/>
  <pageMargins left="0.25" right="0.25" top="0.5" bottom="0.75" header="0.3" footer="0.3"/>
  <pageSetup scale="66" orientation="portrait" r:id="rId1"/>
  <headerFooter>
    <oddFooter>&amp;LAECOM Technical Services, Inc.
Pocasset, MA&amp;RPage &amp;P of &amp;N
Revised: March 18, 2016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AB72"/>
  <sheetViews>
    <sheetView zoomScale="65" zoomScaleNormal="65" workbookViewId="0">
      <selection activeCell="X50" sqref="X50"/>
    </sheetView>
  </sheetViews>
  <sheetFormatPr defaultRowHeight="12.75" x14ac:dyDescent="0.2"/>
  <cols>
    <col min="1" max="1" width="2.7109375" style="60" customWidth="1"/>
    <col min="2" max="4" width="9.140625" style="60"/>
    <col min="5" max="8" width="18.7109375" style="60" customWidth="1"/>
    <col min="9" max="11" width="9.140625" style="60"/>
    <col min="12" max="13" width="2.7109375" style="60" customWidth="1"/>
    <col min="14" max="16" width="9.140625" style="60"/>
    <col min="17" max="20" width="18.7109375" style="60" customWidth="1"/>
    <col min="21" max="23" width="9.140625" style="60"/>
    <col min="24" max="24" width="2.7109375" style="60" customWidth="1"/>
    <col min="25" max="25" width="16" style="60" customWidth="1"/>
    <col min="26" max="16384" width="9.140625" style="60"/>
  </cols>
  <sheetData>
    <row r="1" spans="2:28" x14ac:dyDescent="0.2">
      <c r="B1" s="213"/>
      <c r="N1" s="213"/>
    </row>
    <row r="2" spans="2:28" x14ac:dyDescent="0.2">
      <c r="B2" s="214" t="s">
        <v>7</v>
      </c>
      <c r="C2" s="74"/>
      <c r="D2" s="74"/>
      <c r="E2" s="74"/>
      <c r="F2" s="74"/>
      <c r="G2" s="74"/>
      <c r="H2" s="74"/>
      <c r="I2" s="74"/>
      <c r="J2" s="74"/>
      <c r="K2" s="74"/>
      <c r="L2" s="215" t="s">
        <v>11</v>
      </c>
      <c r="N2" s="214" t="s">
        <v>7</v>
      </c>
      <c r="O2" s="74"/>
      <c r="P2" s="74"/>
      <c r="Q2" s="74"/>
      <c r="R2" s="74"/>
      <c r="S2" s="74"/>
      <c r="T2" s="74"/>
      <c r="U2" s="74"/>
      <c r="V2" s="74"/>
      <c r="W2" s="74"/>
      <c r="X2" s="215" t="s">
        <v>11</v>
      </c>
    </row>
    <row r="3" spans="2:28" x14ac:dyDescent="0.2">
      <c r="B3" s="214" t="s">
        <v>275</v>
      </c>
      <c r="C3" s="74"/>
      <c r="D3" s="74"/>
      <c r="E3" s="74"/>
      <c r="F3" s="74"/>
      <c r="G3" s="74"/>
      <c r="H3" s="74"/>
      <c r="I3" s="74"/>
      <c r="J3" s="74"/>
      <c r="K3" s="74"/>
      <c r="L3" s="215" t="s">
        <v>11</v>
      </c>
      <c r="N3" s="214" t="s">
        <v>275</v>
      </c>
      <c r="O3" s="74"/>
      <c r="P3" s="74"/>
      <c r="Q3" s="74"/>
      <c r="R3" s="74"/>
      <c r="S3" s="74"/>
      <c r="T3" s="74"/>
      <c r="U3" s="74"/>
      <c r="V3" s="74"/>
      <c r="W3" s="74"/>
      <c r="X3" s="215" t="s">
        <v>11</v>
      </c>
    </row>
    <row r="4" spans="2:28" x14ac:dyDescent="0.2">
      <c r="B4" s="214" t="s">
        <v>279</v>
      </c>
      <c r="C4" s="74"/>
      <c r="D4" s="74"/>
      <c r="E4" s="74"/>
      <c r="F4" s="74"/>
      <c r="G4" s="74"/>
      <c r="H4" s="74"/>
      <c r="I4" s="74"/>
      <c r="J4" s="74"/>
      <c r="K4" s="74"/>
      <c r="L4" s="215" t="s">
        <v>11</v>
      </c>
      <c r="N4" s="230" t="s">
        <v>373</v>
      </c>
      <c r="O4" s="74"/>
      <c r="P4" s="74"/>
      <c r="Q4" s="74"/>
      <c r="R4" s="74"/>
      <c r="S4" s="74"/>
      <c r="T4" s="74"/>
      <c r="U4" s="74"/>
      <c r="V4" s="74"/>
      <c r="W4" s="74"/>
      <c r="X4" s="215" t="s">
        <v>11</v>
      </c>
    </row>
    <row r="6" spans="2:28" ht="25.5" x14ac:dyDescent="0.2">
      <c r="E6" s="216" t="str">
        <f>'Phasing - Data'!D8</f>
        <v>Capital Cost</v>
      </c>
      <c r="F6" s="217" t="str">
        <f>'Phasing - Data'!E8</f>
        <v>Annual O&amp;M Cost</v>
      </c>
      <c r="G6" s="217" t="str">
        <f>'Phasing - Data'!F8</f>
        <v>Replacement Cost</v>
      </c>
      <c r="H6" s="217" t="str">
        <f>'Phasing - Data'!G8</f>
        <v>Annual Monitoring Cost</v>
      </c>
      <c r="Q6" s="217" t="str">
        <f>E6</f>
        <v>Capital Cost</v>
      </c>
      <c r="R6" s="217" t="str">
        <f>F6</f>
        <v>Annual O&amp;M Cost</v>
      </c>
      <c r="S6" s="217" t="str">
        <f>G6</f>
        <v>Replacement Cost</v>
      </c>
      <c r="T6" s="217" t="str">
        <f>H6</f>
        <v>Annual Monitoring Cost</v>
      </c>
    </row>
    <row r="7" spans="2:28" x14ac:dyDescent="0.2">
      <c r="E7" s="234">
        <f>'Phasing - Data'!$AC$292+'Phasing - Data'!$AG$292+'Phasing - Data'!$AK$292+'Phasing - Data'!$AO$292+'Phasing - Data'!$AS$292+'Phasing - Data'!$AW$292+'Phasing - Data'!$BA$292+'Phasing - Data'!$BE$292+'Phasing - Data'!$BI$292+'Phasing - Data'!$BM$292+'Phasing - Data'!$BQ$292+'Phasing - Data'!$BU$292+'Phasing - Data'!$BY$292+'Phasing - Data'!$CC$292+'Phasing - Data'!$CG$292+'Phasing - Data'!$CK$292+'Phasing - Data'!$CO$292+'Phasing - Data'!$CS$292+'Phasing - Data'!$CW$292+'Phasing - Data'!$DA$292</f>
        <v>132994342.18638411</v>
      </c>
      <c r="F7" s="234">
        <f>'Phasing - Data'!$AD$292+'Phasing - Data'!$AH$292+'Phasing - Data'!$AL$292+'Phasing - Data'!$AP$292+'Phasing - Data'!$AT$292+'Phasing - Data'!$AX$292+'Phasing - Data'!$BB$292+'Phasing - Data'!$BF$292+'Phasing - Data'!$BJ$292+'Phasing - Data'!$BN$292+'Phasing - Data'!$BR$292+'Phasing - Data'!$BV$292+'Phasing - Data'!$BZ$292+'Phasing - Data'!$CD$292+'Phasing - Data'!$CH$292+'Phasing - Data'!$CL$292+'Phasing - Data'!$CP$292+'Phasing - Data'!$CT$292+'Phasing - Data'!$CX$292+'Phasing - Data'!$DB$292</f>
        <v>43597044.347265005</v>
      </c>
      <c r="G7" s="234">
        <f>'Phasing - Data'!$AE$292+'Phasing - Data'!$AI$292+'Phasing - Data'!$AM$292+'Phasing - Data'!$AQ$292+'Phasing - Data'!$AU$292+'Phasing - Data'!$AY$292+'Phasing - Data'!$BC$292+'Phasing - Data'!$BG$292+'Phasing - Data'!$BK$292+'Phasing - Data'!$BO$292+'Phasing - Data'!$BS$292+'Phasing - Data'!$BW$292+'Phasing - Data'!$CA$292+'Phasing - Data'!$CE$292+'Phasing - Data'!$CI$292+'Phasing - Data'!$CM$292+'Phasing - Data'!$CQ$292+'Phasing - Data'!$CU$292+'Phasing - Data'!$CY$292+'Phasing - Data'!$DC$292</f>
        <v>36090459.149884522</v>
      </c>
      <c r="H7" s="234">
        <f>'Phasing - Data'!$AF$292+'Phasing - Data'!$AJ$292+'Phasing - Data'!$AN$292+'Phasing - Data'!$AR$292+'Phasing - Data'!$AV$292+'Phasing - Data'!$AZ$292+'Phasing - Data'!$BD$292+'Phasing - Data'!$BH$292+'Phasing - Data'!$BL$292+'Phasing - Data'!$BP$292+'Phasing - Data'!$BT$292+'Phasing - Data'!$BX$292+'Phasing - Data'!$CB$292+'Phasing - Data'!$CF$292+'Phasing - Data'!$CJ$292+'Phasing - Data'!$CN$292+'Phasing - Data'!$CR$292+'Phasing - Data'!$CV$292+'Phasing - Data'!$CZ$292+'Phasing - Data'!$DD$292</f>
        <v>27253120.476495434</v>
      </c>
      <c r="Q7" s="234">
        <f>'Phasing - Data'!$AC$231+'Phasing - Data'!$AG$231+'Phasing - Data'!$AK$231+'Phasing - Data'!$AO$231+'Phasing - Data'!$AS$231+'Phasing - Data'!$AW$231+'Phasing - Data'!$BA$231+'Phasing - Data'!$BE$231+'Phasing - Data'!$BI$231+'Phasing - Data'!$BM$231+'Phasing - Data'!$BQ$231+'Phasing - Data'!$BU$231+'Phasing - Data'!$BY$231+'Phasing - Data'!$CC$231+'Phasing - Data'!$CG$231+'Phasing - Data'!$CK$231+'Phasing - Data'!$CO$231+'Phasing - Data'!$CS$231+'Phasing - Data'!$CW$231+'Phasing - Data'!$DA$231</f>
        <v>28608632.370559201</v>
      </c>
      <c r="R7" s="234">
        <f>'Phasing - Data'!$AD$231+'Phasing - Data'!$AH$231+'Phasing - Data'!$AL$231+'Phasing - Data'!$AP$231+'Phasing - Data'!$AT$231+'Phasing - Data'!$AX$231+'Phasing - Data'!$BB$231+'Phasing - Data'!$BF$231+'Phasing - Data'!$BJ$231+'Phasing - Data'!$BN$231+'Phasing - Data'!$BR$231+'Phasing - Data'!$BV$231+'Phasing - Data'!$BZ$231+'Phasing - Data'!$CD$231+'Phasing - Data'!$CH$231+'Phasing - Data'!$CL$231+'Phasing - Data'!$CP$231+'Phasing - Data'!$CT$231+'Phasing - Data'!$CX$231+'Phasing - Data'!$DB$231</f>
        <v>10077212.682203887</v>
      </c>
      <c r="S7" s="234">
        <f>'Phasing - Data'!$AE$231+'Phasing - Data'!$AI$231+'Phasing - Data'!$AM$231+'Phasing - Data'!$AQ$231+'Phasing - Data'!$AU$231+'Phasing - Data'!$AY$231+'Phasing - Data'!$BC$231+'Phasing - Data'!$BG$231+'Phasing - Data'!$BK$231+'Phasing - Data'!$BO$231+'Phasing - Data'!$BS$231+'Phasing - Data'!$BW$231+'Phasing - Data'!$CA$231+'Phasing - Data'!$CE$231+'Phasing - Data'!$CI$231+'Phasing - Data'!$CM$231+'Phasing - Data'!$CQ$231+'Phasing - Data'!$CU$231+'Phasing - Data'!$CY$231+'Phasing - Data'!$DC$231</f>
        <v>26767884.778494559</v>
      </c>
      <c r="T7" s="234">
        <f>'Phasing - Data'!$AF$231+'Phasing - Data'!$AJ$231+'Phasing - Data'!$AN$231+'Phasing - Data'!$AR$231+'Phasing - Data'!$AV$231+'Phasing - Data'!$AZ$231+'Phasing - Data'!$BD$231+'Phasing - Data'!$BH$231+'Phasing - Data'!$BL$231+'Phasing - Data'!$BP$231+'Phasing - Data'!$BT$231+'Phasing - Data'!$BX$231+'Phasing - Data'!$CB$231+'Phasing - Data'!$CF$231+'Phasing - Data'!$CJ$231+'Phasing - Data'!$CN$231+'Phasing - Data'!$CR$231+'Phasing - Data'!$CV$231+'Phasing - Data'!$CZ$231+'Phasing - Data'!$DD$231</f>
        <v>25750122.793804504</v>
      </c>
    </row>
    <row r="8" spans="2:28" x14ac:dyDescent="0.2">
      <c r="E8" s="68"/>
      <c r="F8" s="68"/>
      <c r="G8" s="68"/>
      <c r="H8" s="68"/>
      <c r="Q8" s="218"/>
      <c r="R8" s="218"/>
      <c r="S8" s="218"/>
      <c r="T8" s="218"/>
      <c r="Y8" s="218"/>
      <c r="Z8" s="218"/>
      <c r="AA8" s="218"/>
      <c r="AB8" s="218"/>
    </row>
    <row r="9" spans="2:28" x14ac:dyDescent="0.2">
      <c r="E9" s="68"/>
      <c r="F9" s="68"/>
      <c r="G9" s="68"/>
      <c r="H9" s="68"/>
      <c r="Q9" s="218"/>
      <c r="R9" s="218"/>
      <c r="S9" s="218"/>
      <c r="T9" s="218"/>
    </row>
    <row r="10" spans="2:28" x14ac:dyDescent="0.2">
      <c r="E10" s="68"/>
      <c r="F10" s="68"/>
      <c r="G10" s="68"/>
      <c r="H10" s="68"/>
      <c r="Q10" s="218"/>
      <c r="R10" s="218"/>
      <c r="S10" s="218"/>
      <c r="T10" s="218"/>
    </row>
    <row r="11" spans="2:28" x14ac:dyDescent="0.2">
      <c r="E11" s="68"/>
      <c r="F11" s="68"/>
      <c r="G11" s="68"/>
      <c r="H11" s="68"/>
      <c r="Q11" s="218"/>
      <c r="R11" s="218"/>
      <c r="S11" s="218"/>
      <c r="T11" s="218"/>
    </row>
    <row r="12" spans="2:28" x14ac:dyDescent="0.2">
      <c r="E12" s="68"/>
      <c r="F12" s="68"/>
      <c r="G12" s="68"/>
      <c r="H12" s="68"/>
      <c r="Q12" s="218"/>
      <c r="R12" s="218"/>
      <c r="S12" s="218"/>
      <c r="T12" s="218"/>
    </row>
    <row r="13" spans="2:28" x14ac:dyDescent="0.2">
      <c r="E13" s="68"/>
      <c r="F13" s="68"/>
      <c r="G13" s="68"/>
      <c r="H13" s="68"/>
      <c r="Q13" s="218"/>
      <c r="R13" s="218"/>
      <c r="S13" s="218"/>
      <c r="T13" s="218"/>
    </row>
    <row r="14" spans="2:28" x14ac:dyDescent="0.2">
      <c r="E14" s="68"/>
      <c r="F14" s="68"/>
      <c r="G14" s="68"/>
      <c r="H14" s="68"/>
      <c r="Q14" s="218"/>
      <c r="R14" s="218"/>
      <c r="S14" s="218"/>
      <c r="T14" s="218"/>
    </row>
    <row r="15" spans="2:28" x14ac:dyDescent="0.2">
      <c r="E15" s="68"/>
      <c r="F15" s="68"/>
      <c r="G15" s="68"/>
      <c r="H15" s="68"/>
      <c r="Q15" s="218"/>
      <c r="R15" s="218"/>
      <c r="S15" s="218"/>
      <c r="T15" s="218"/>
    </row>
    <row r="16" spans="2:28" x14ac:dyDescent="0.2">
      <c r="E16" s="68"/>
      <c r="F16" s="68"/>
      <c r="G16" s="68"/>
      <c r="H16" s="68"/>
      <c r="Q16" s="218"/>
      <c r="R16" s="218"/>
      <c r="S16" s="218"/>
      <c r="T16" s="218"/>
    </row>
    <row r="17" spans="5:20" x14ac:dyDescent="0.2">
      <c r="E17" s="68"/>
      <c r="F17" s="68"/>
      <c r="G17" s="68"/>
      <c r="H17" s="68"/>
      <c r="Q17" s="218"/>
      <c r="R17" s="218"/>
      <c r="S17" s="218"/>
      <c r="T17" s="218"/>
    </row>
    <row r="18" spans="5:20" x14ac:dyDescent="0.2">
      <c r="E18" s="68"/>
      <c r="F18" s="68"/>
      <c r="G18" s="68"/>
      <c r="H18" s="68"/>
      <c r="Q18" s="218"/>
      <c r="R18" s="218"/>
      <c r="S18" s="218"/>
      <c r="T18" s="218"/>
    </row>
    <row r="19" spans="5:20" x14ac:dyDescent="0.2">
      <c r="E19" s="68"/>
      <c r="F19" s="68"/>
      <c r="G19" s="68"/>
      <c r="H19" s="68"/>
      <c r="Q19" s="218"/>
      <c r="R19" s="218"/>
      <c r="S19" s="218"/>
      <c r="T19" s="218"/>
    </row>
    <row r="20" spans="5:20" x14ac:dyDescent="0.2">
      <c r="E20" s="68"/>
      <c r="F20" s="68"/>
      <c r="G20" s="68"/>
      <c r="H20" s="68"/>
      <c r="Q20" s="218"/>
      <c r="R20" s="218"/>
      <c r="S20" s="218"/>
      <c r="T20" s="218"/>
    </row>
    <row r="21" spans="5:20" x14ac:dyDescent="0.2">
      <c r="E21" s="68"/>
      <c r="F21" s="68"/>
      <c r="G21" s="68"/>
      <c r="H21" s="68"/>
      <c r="Q21" s="218"/>
      <c r="R21" s="218"/>
      <c r="S21" s="218"/>
      <c r="T21" s="218"/>
    </row>
    <row r="22" spans="5:20" x14ac:dyDescent="0.2">
      <c r="E22" s="68"/>
      <c r="F22" s="68"/>
      <c r="G22" s="68"/>
      <c r="H22" s="68"/>
      <c r="Q22" s="218"/>
      <c r="R22" s="218"/>
      <c r="S22" s="218"/>
      <c r="T22" s="218"/>
    </row>
    <row r="23" spans="5:20" x14ac:dyDescent="0.2">
      <c r="E23" s="68"/>
      <c r="F23" s="68"/>
      <c r="G23" s="68"/>
      <c r="H23" s="68"/>
      <c r="Q23" s="218"/>
      <c r="R23" s="218"/>
      <c r="S23" s="218"/>
      <c r="T23" s="218"/>
    </row>
    <row r="24" spans="5:20" x14ac:dyDescent="0.2">
      <c r="E24" s="68"/>
      <c r="F24" s="68"/>
      <c r="G24" s="68"/>
      <c r="H24" s="68"/>
      <c r="Q24" s="218"/>
      <c r="R24" s="218"/>
      <c r="S24" s="218"/>
      <c r="T24" s="218"/>
    </row>
    <row r="25" spans="5:20" x14ac:dyDescent="0.2">
      <c r="E25" s="68"/>
      <c r="F25" s="68"/>
      <c r="G25" s="68"/>
      <c r="H25" s="68"/>
      <c r="Q25" s="218"/>
      <c r="R25" s="218"/>
      <c r="S25" s="218"/>
      <c r="T25" s="218"/>
    </row>
    <row r="26" spans="5:20" x14ac:dyDescent="0.2">
      <c r="E26" s="68"/>
      <c r="F26" s="68"/>
      <c r="G26" s="68"/>
      <c r="H26" s="68"/>
      <c r="Q26" s="218"/>
      <c r="R26" s="218"/>
      <c r="S26" s="218"/>
      <c r="T26" s="218"/>
    </row>
    <row r="27" spans="5:20" x14ac:dyDescent="0.2">
      <c r="E27" s="68"/>
      <c r="F27" s="68"/>
      <c r="G27" s="68"/>
      <c r="H27" s="68"/>
      <c r="Q27" s="218"/>
      <c r="R27" s="218"/>
      <c r="S27" s="218"/>
      <c r="T27" s="218"/>
    </row>
    <row r="28" spans="5:20" x14ac:dyDescent="0.2">
      <c r="E28" s="68"/>
      <c r="F28" s="68"/>
      <c r="G28" s="68"/>
      <c r="H28" s="68"/>
      <c r="Q28" s="218"/>
      <c r="R28" s="218"/>
      <c r="S28" s="218"/>
      <c r="T28" s="218"/>
    </row>
    <row r="29" spans="5:20" x14ac:dyDescent="0.2">
      <c r="E29" s="68"/>
      <c r="F29" s="68"/>
      <c r="G29" s="68"/>
      <c r="H29" s="68"/>
      <c r="Q29" s="68"/>
      <c r="R29" s="68"/>
      <c r="S29" s="68"/>
      <c r="T29" s="68"/>
    </row>
    <row r="46" spans="2:23" x14ac:dyDescent="0.2">
      <c r="B46" s="214" t="s">
        <v>7</v>
      </c>
      <c r="C46" s="74"/>
      <c r="D46" s="74"/>
      <c r="E46" s="74"/>
      <c r="F46" s="74"/>
      <c r="G46" s="74"/>
      <c r="H46" s="74"/>
      <c r="I46" s="74"/>
      <c r="J46" s="74"/>
      <c r="K46" s="74"/>
      <c r="N46" s="214" t="s">
        <v>7</v>
      </c>
      <c r="O46" s="74"/>
      <c r="P46" s="74"/>
      <c r="Q46" s="74"/>
      <c r="R46" s="74"/>
      <c r="S46" s="74"/>
      <c r="T46" s="74"/>
      <c r="U46" s="74"/>
      <c r="V46" s="74"/>
      <c r="W46" s="74"/>
    </row>
    <row r="47" spans="2:23" x14ac:dyDescent="0.2">
      <c r="B47" s="214" t="s">
        <v>275</v>
      </c>
      <c r="C47" s="74"/>
      <c r="D47" s="74"/>
      <c r="E47" s="74"/>
      <c r="F47" s="74"/>
      <c r="G47" s="74"/>
      <c r="H47" s="74"/>
      <c r="I47" s="74"/>
      <c r="J47" s="74"/>
      <c r="K47" s="74"/>
      <c r="N47" s="214" t="s">
        <v>275</v>
      </c>
      <c r="O47" s="74"/>
      <c r="P47" s="74"/>
      <c r="Q47" s="74"/>
      <c r="R47" s="74"/>
      <c r="S47" s="74"/>
      <c r="T47" s="74"/>
      <c r="U47" s="74"/>
      <c r="V47" s="74"/>
      <c r="W47" s="74"/>
    </row>
    <row r="48" spans="2:23" x14ac:dyDescent="0.2">
      <c r="B48" s="230" t="s">
        <v>374</v>
      </c>
      <c r="C48" s="74"/>
      <c r="D48" s="74"/>
      <c r="E48" s="74"/>
      <c r="F48" s="74"/>
      <c r="G48" s="74"/>
      <c r="H48" s="74"/>
      <c r="I48" s="74"/>
      <c r="J48" s="74"/>
      <c r="K48" s="74"/>
      <c r="N48" s="230" t="s">
        <v>376</v>
      </c>
      <c r="O48" s="74"/>
      <c r="P48" s="74"/>
      <c r="Q48" s="74"/>
      <c r="R48" s="74"/>
      <c r="S48" s="74"/>
      <c r="T48" s="74"/>
      <c r="U48" s="74"/>
      <c r="V48" s="74"/>
      <c r="W48" s="74"/>
    </row>
    <row r="50" spans="5:20" ht="25.5" x14ac:dyDescent="0.2">
      <c r="E50" s="217" t="str">
        <f>E6</f>
        <v>Capital Cost</v>
      </c>
      <c r="F50" s="217" t="str">
        <f t="shared" ref="F50:H50" si="0">F6</f>
        <v>Annual O&amp;M Cost</v>
      </c>
      <c r="G50" s="217" t="str">
        <f t="shared" si="0"/>
        <v>Replacement Cost</v>
      </c>
      <c r="H50" s="217" t="str">
        <f t="shared" si="0"/>
        <v>Annual Monitoring Cost</v>
      </c>
      <c r="Q50" s="217" t="str">
        <f>E50</f>
        <v>Capital Cost</v>
      </c>
      <c r="R50" s="217" t="str">
        <f>F50</f>
        <v>Annual O&amp;M Cost</v>
      </c>
      <c r="S50" s="217" t="str">
        <f>G50</f>
        <v>Replacement Cost</v>
      </c>
      <c r="T50" s="217" t="str">
        <f>H50</f>
        <v>Annual Monitoring Cost</v>
      </c>
    </row>
    <row r="51" spans="5:20" x14ac:dyDescent="0.2">
      <c r="E51" s="234">
        <f>'Phasing - Data'!$AC$120+'Phasing - Data'!$AG$120+'Phasing - Data'!$AK$120+'Phasing - Data'!$AO$120+'Phasing - Data'!$AS$120+'Phasing - Data'!$AW$120+'Phasing - Data'!$BA$120+'Phasing - Data'!$BE$120+'Phasing - Data'!$BI$120+'Phasing - Data'!$BM$120+'Phasing - Data'!$BQ$120+'Phasing - Data'!$BU$120+'Phasing - Data'!$BY$120+'Phasing - Data'!$CC$120+'Phasing - Data'!$CG$120+'Phasing - Data'!$CK$120+'Phasing - Data'!$CO$120+'Phasing - Data'!$CS$120+'Phasing - Data'!$CW$120+'Phasing - Data'!$DA$120</f>
        <v>88376580.154244244</v>
      </c>
      <c r="F51" s="234">
        <f>'Phasing - Data'!$AD$120+'Phasing - Data'!$AH$120+'Phasing - Data'!$AL$120+'Phasing - Data'!$AP$120+'Phasing - Data'!$AT$120+'Phasing - Data'!$AX$120+'Phasing - Data'!$BB$120+'Phasing - Data'!$BF$120+'Phasing - Data'!$BJ$120+'Phasing - Data'!$BN$120+'Phasing - Data'!$BR$120+'Phasing - Data'!$BV$120+'Phasing - Data'!$BZ$120+'Phasing - Data'!$CD$120+'Phasing - Data'!$CH$120+'Phasing - Data'!$CL$120+'Phasing - Data'!$CP$120+'Phasing - Data'!$CT$120+'Phasing - Data'!$CX$120+'Phasing - Data'!$DB$120</f>
        <v>33340515.467690088</v>
      </c>
      <c r="G51" s="234">
        <f>'Phasing - Data'!$AE$120+'Phasing - Data'!$AI$120+'Phasing - Data'!$AM$120+'Phasing - Data'!$AQ$120+'Phasing - Data'!$AU$120+'Phasing - Data'!$AY$120+'Phasing - Data'!$BC$120+'Phasing - Data'!$BG$120+'Phasing - Data'!$BK$120+'Phasing - Data'!$BO$120+'Phasing - Data'!$BS$120+'Phasing - Data'!$BW$120+'Phasing - Data'!$CA$120+'Phasing - Data'!$CE$120+'Phasing - Data'!$CI$120+'Phasing - Data'!$CM$120+'Phasing - Data'!$CQ$120+'Phasing - Data'!$CU$120+'Phasing - Data'!$CY$120+'Phasing - Data'!$DC$120</f>
        <v>9322574.3713899571</v>
      </c>
      <c r="H51" s="234">
        <f>'Phasing - Data'!$AF$120+'Phasing - Data'!$AJ$120+'Phasing - Data'!$AN$120+'Phasing - Data'!$AR$120+'Phasing - Data'!$AV$120+'Phasing - Data'!$AZ$120+'Phasing - Data'!$BD$120+'Phasing - Data'!$BH$120+'Phasing - Data'!$BL$120+'Phasing - Data'!$BP$120+'Phasing - Data'!$BT$120+'Phasing - Data'!$BX$120+'Phasing - Data'!$CB$120+'Phasing - Data'!$CF$120+'Phasing - Data'!$CJ$120+'Phasing - Data'!$CN$120+'Phasing - Data'!$CR$120+'Phasing - Data'!$CV$120+'Phasing - Data'!$CZ$120+'Phasing - Data'!$DD$120</f>
        <v>1331615.830336309</v>
      </c>
      <c r="Q51" s="234">
        <f>'Phasing - Data'!$AC$290+'Phasing - Data'!$AG$290+'Phasing - Data'!$AK$290+'Phasing - Data'!$AO$290+'Phasing - Data'!$AS$290+'Phasing - Data'!$AW$290+'Phasing - Data'!$BA$290+'Phasing - Data'!$BE$290+'Phasing - Data'!$BI$290+'Phasing - Data'!$BM$290+'Phasing - Data'!$BQ$290+'Phasing - Data'!$BU$290+'Phasing - Data'!$BY$290+'Phasing - Data'!$CC$290+'Phasing - Data'!$CG$290+'Phasing - Data'!$CK$290+'Phasing - Data'!$CO$290+'Phasing - Data'!$CS$290+'Phasing - Data'!$CW$290+'Phasing - Data'!$DA$290</f>
        <v>14507511.271440575</v>
      </c>
      <c r="R51" s="234">
        <f>'Phasing - Data'!$AD$290+'Phasing - Data'!$AH$290+'Phasing - Data'!$AL$290+'Phasing - Data'!$AP$290+'Phasing - Data'!$AT$290+'Phasing - Data'!$AX$290+'Phasing - Data'!$BB$290+'Phasing - Data'!$BF$290+'Phasing - Data'!$BJ$290+'Phasing - Data'!$BN$290+'Phasing - Data'!$BR$290+'Phasing - Data'!$BV$290+'Phasing - Data'!$BZ$290+'Phasing - Data'!$CD$290+'Phasing - Data'!$CH$290+'Phasing - Data'!$CL$290+'Phasing - Data'!$CP$290+'Phasing - Data'!$CT$290+'Phasing - Data'!$CX$290+'Phasing - Data'!$DB$290</f>
        <v>0</v>
      </c>
      <c r="S51" s="234">
        <f>'Phasing - Data'!$AE$290+'Phasing - Data'!$AI$290+'Phasing - Data'!$AM$290+'Phasing - Data'!$AQ$290+'Phasing - Data'!$AU$290+'Phasing - Data'!$AY$290+'Phasing - Data'!$BC$290+'Phasing - Data'!$BG$290+'Phasing - Data'!$BK$290+'Phasing - Data'!$BO$290+'Phasing - Data'!$BS$290+'Phasing - Data'!$BW$290+'Phasing - Data'!$CA$290+'Phasing - Data'!$CE$290+'Phasing - Data'!$CI$290+'Phasing - Data'!$CM$290+'Phasing - Data'!$CQ$290+'Phasing - Data'!$CU$290+'Phasing - Data'!$CY$290+'Phasing - Data'!$DC$290</f>
        <v>0</v>
      </c>
      <c r="T51" s="234">
        <f>'Phasing - Data'!$AF$290+'Phasing - Data'!$AJ$290+'Phasing - Data'!$AN$290+'Phasing - Data'!$AR$290+'Phasing - Data'!$AV$290+'Phasing - Data'!$AZ$290+'Phasing - Data'!$BD$290+'Phasing - Data'!$BH$290+'Phasing - Data'!$BL$290+'Phasing - Data'!$BP$290+'Phasing - Data'!$BT$290+'Phasing - Data'!$BX$290+'Phasing - Data'!$CB$290+'Phasing - Data'!$CF$290+'Phasing - Data'!$CJ$290+'Phasing - Data'!$CN$290+'Phasing - Data'!$CR$290+'Phasing - Data'!$CV$290+'Phasing - Data'!$CZ$290+'Phasing - Data'!$DD$290</f>
        <v>0</v>
      </c>
    </row>
    <row r="52" spans="5:20" x14ac:dyDescent="0.2">
      <c r="E52" s="68"/>
      <c r="F52" s="68"/>
      <c r="G52" s="68"/>
      <c r="H52" s="68"/>
      <c r="Q52" s="218"/>
      <c r="R52" s="218"/>
      <c r="S52" s="218"/>
      <c r="T52" s="218"/>
    </row>
    <row r="53" spans="5:20" x14ac:dyDescent="0.2">
      <c r="E53" s="68"/>
      <c r="F53" s="68"/>
      <c r="G53" s="68"/>
      <c r="H53" s="68"/>
      <c r="Q53" s="218"/>
      <c r="R53" s="218"/>
      <c r="S53" s="218"/>
      <c r="T53" s="218"/>
    </row>
    <row r="54" spans="5:20" x14ac:dyDescent="0.2">
      <c r="E54" s="68"/>
      <c r="F54" s="68"/>
      <c r="G54" s="68"/>
      <c r="H54" s="68"/>
      <c r="Q54" s="218"/>
      <c r="R54" s="218"/>
      <c r="S54" s="218"/>
      <c r="T54" s="218"/>
    </row>
    <row r="55" spans="5:20" x14ac:dyDescent="0.2">
      <c r="E55" s="68"/>
      <c r="F55" s="68"/>
      <c r="G55" s="68"/>
      <c r="H55" s="68"/>
      <c r="Q55" s="218"/>
      <c r="R55" s="218"/>
      <c r="S55" s="218"/>
      <c r="T55" s="218"/>
    </row>
    <row r="56" spans="5:20" x14ac:dyDescent="0.2">
      <c r="E56" s="68"/>
      <c r="F56" s="68"/>
      <c r="G56" s="68"/>
      <c r="H56" s="68"/>
      <c r="Q56" s="218"/>
      <c r="R56" s="218"/>
      <c r="S56" s="218"/>
      <c r="T56" s="218"/>
    </row>
    <row r="57" spans="5:20" x14ac:dyDescent="0.2">
      <c r="E57" s="68"/>
      <c r="F57" s="68"/>
      <c r="G57" s="68"/>
      <c r="H57" s="68"/>
      <c r="Q57" s="218"/>
      <c r="R57" s="218"/>
      <c r="S57" s="218"/>
      <c r="T57" s="218"/>
    </row>
    <row r="58" spans="5:20" x14ac:dyDescent="0.2">
      <c r="E58" s="68"/>
      <c r="F58" s="68"/>
      <c r="G58" s="68"/>
      <c r="H58" s="68"/>
      <c r="Q58" s="218"/>
      <c r="R58" s="218"/>
      <c r="S58" s="218"/>
      <c r="T58" s="218"/>
    </row>
    <row r="59" spans="5:20" x14ac:dyDescent="0.2">
      <c r="E59" s="68"/>
      <c r="F59" s="68"/>
      <c r="G59" s="68"/>
      <c r="H59" s="68"/>
      <c r="Q59" s="218"/>
      <c r="R59" s="218"/>
      <c r="S59" s="218"/>
      <c r="T59" s="218"/>
    </row>
    <row r="60" spans="5:20" x14ac:dyDescent="0.2">
      <c r="E60" s="68"/>
      <c r="F60" s="68"/>
      <c r="G60" s="68"/>
      <c r="H60" s="68"/>
      <c r="Q60" s="218"/>
      <c r="R60" s="218"/>
      <c r="S60" s="218"/>
      <c r="T60" s="218"/>
    </row>
    <row r="61" spans="5:20" x14ac:dyDescent="0.2">
      <c r="E61" s="68"/>
      <c r="F61" s="68"/>
      <c r="G61" s="68"/>
      <c r="H61" s="68"/>
      <c r="Q61" s="218"/>
      <c r="R61" s="218"/>
      <c r="S61" s="218"/>
      <c r="T61" s="218"/>
    </row>
    <row r="62" spans="5:20" x14ac:dyDescent="0.2">
      <c r="E62" s="68"/>
      <c r="F62" s="68"/>
      <c r="G62" s="68"/>
      <c r="H62" s="68"/>
      <c r="Q62" s="218"/>
      <c r="R62" s="218"/>
      <c r="S62" s="218"/>
      <c r="T62" s="218"/>
    </row>
    <row r="63" spans="5:20" x14ac:dyDescent="0.2">
      <c r="E63" s="68"/>
      <c r="F63" s="68"/>
      <c r="G63" s="68"/>
      <c r="H63" s="68"/>
      <c r="Q63" s="218"/>
      <c r="R63" s="218"/>
      <c r="S63" s="218"/>
      <c r="T63" s="218"/>
    </row>
    <row r="64" spans="5:20" x14ac:dyDescent="0.2">
      <c r="E64" s="68"/>
      <c r="F64" s="68"/>
      <c r="G64" s="68"/>
      <c r="H64" s="68"/>
      <c r="Q64" s="218"/>
      <c r="R64" s="218"/>
      <c r="S64" s="218"/>
      <c r="T64" s="218"/>
    </row>
    <row r="65" spans="5:20" x14ac:dyDescent="0.2">
      <c r="E65" s="68"/>
      <c r="F65" s="68"/>
      <c r="G65" s="68"/>
      <c r="H65" s="68"/>
      <c r="Q65" s="218"/>
      <c r="R65" s="218"/>
      <c r="S65" s="218"/>
      <c r="T65" s="218"/>
    </row>
    <row r="66" spans="5:20" x14ac:dyDescent="0.2">
      <c r="E66" s="68"/>
      <c r="F66" s="68"/>
      <c r="G66" s="68"/>
      <c r="H66" s="68"/>
      <c r="Q66" s="218"/>
      <c r="R66" s="218"/>
      <c r="S66" s="218"/>
      <c r="T66" s="218"/>
    </row>
    <row r="67" spans="5:20" x14ac:dyDescent="0.2">
      <c r="E67" s="68"/>
      <c r="F67" s="68"/>
      <c r="G67" s="68"/>
      <c r="H67" s="68"/>
      <c r="Q67" s="218"/>
      <c r="R67" s="218"/>
      <c r="S67" s="218"/>
      <c r="T67" s="218"/>
    </row>
    <row r="68" spans="5:20" x14ac:dyDescent="0.2">
      <c r="E68" s="68"/>
      <c r="F68" s="68"/>
      <c r="G68" s="68"/>
      <c r="H68" s="68"/>
      <c r="Q68" s="218"/>
      <c r="R68" s="218"/>
      <c r="S68" s="218"/>
      <c r="T68" s="218"/>
    </row>
    <row r="69" spans="5:20" x14ac:dyDescent="0.2">
      <c r="E69" s="68"/>
      <c r="F69" s="68"/>
      <c r="G69" s="68"/>
      <c r="H69" s="68"/>
      <c r="Q69" s="218"/>
      <c r="R69" s="218"/>
      <c r="S69" s="218"/>
      <c r="T69" s="218"/>
    </row>
    <row r="70" spans="5:20" x14ac:dyDescent="0.2">
      <c r="E70" s="68"/>
      <c r="F70" s="68"/>
      <c r="G70" s="68"/>
      <c r="H70" s="68"/>
      <c r="Q70" s="218"/>
      <c r="R70" s="218"/>
      <c r="S70" s="218"/>
      <c r="T70" s="218"/>
    </row>
    <row r="71" spans="5:20" x14ac:dyDescent="0.2">
      <c r="E71" s="68"/>
      <c r="F71" s="68"/>
      <c r="G71" s="68"/>
      <c r="H71" s="68"/>
      <c r="Q71" s="218"/>
      <c r="R71" s="218"/>
      <c r="S71" s="218"/>
      <c r="T71" s="218"/>
    </row>
    <row r="72" spans="5:20" x14ac:dyDescent="0.2">
      <c r="E72" s="68"/>
      <c r="F72" s="68"/>
      <c r="G72" s="68"/>
      <c r="H72" s="68"/>
      <c r="Q72" s="68"/>
      <c r="R72" s="68"/>
      <c r="S72" s="68"/>
      <c r="T72" s="68"/>
    </row>
  </sheetData>
  <sheetProtection password="E40A" sheet="1" objects="1" scenarios="1"/>
  <printOptions horizontalCentered="1"/>
  <pageMargins left="0.25" right="0.25" top="0.5" bottom="0.75" header="0.3" footer="0.3"/>
  <pageSetup scale="75" fitToHeight="4" orientation="portrait" r:id="rId1"/>
  <headerFooter>
    <oddFooter>&amp;LAECOM Technical Services, Inc.
Pocasset, MA&amp;RPage &amp;P of &amp;N
Revised: March 18, 2016</oddFooter>
  </headerFooter>
  <rowBreaks count="1" manualBreakCount="1">
    <brk id="44" max="16383" man="1"/>
  </rowBreaks>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59999389629810485"/>
  </sheetPr>
  <dimension ref="B1:T148"/>
  <sheetViews>
    <sheetView zoomScaleNormal="100" workbookViewId="0"/>
  </sheetViews>
  <sheetFormatPr defaultRowHeight="14.2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3" width="9.140625" style="60"/>
    <col min="14" max="14" width="40.7109375" style="39" customWidth="1"/>
    <col min="15" max="15" width="12.7109375" style="39" customWidth="1"/>
    <col min="16" max="16" width="12.7109375" style="40" customWidth="1"/>
    <col min="17" max="17" width="9.140625" style="60"/>
    <col min="18" max="18" width="12.28515625" style="60" customWidth="1"/>
    <col min="19" max="19" width="11.140625" style="60" bestFit="1" customWidth="1"/>
    <col min="20" max="16384" width="9.140625" style="60"/>
  </cols>
  <sheetData>
    <row r="1" spans="2:20" ht="15.75" x14ac:dyDescent="0.25">
      <c r="N1" s="702"/>
      <c r="O1" s="702"/>
      <c r="P1" s="702"/>
    </row>
    <row r="2" spans="2:20" ht="12.75" x14ac:dyDescent="0.2">
      <c r="B2" s="75" t="s">
        <v>7</v>
      </c>
      <c r="C2" s="75"/>
      <c r="D2" s="75"/>
      <c r="E2" s="75"/>
      <c r="F2" s="75"/>
      <c r="G2" s="74"/>
      <c r="N2" s="75" t="s">
        <v>7</v>
      </c>
      <c r="O2" s="75"/>
      <c r="P2" s="75"/>
    </row>
    <row r="3" spans="2:20" ht="12.75" x14ac:dyDescent="0.2">
      <c r="B3" s="75" t="s">
        <v>8</v>
      </c>
      <c r="C3" s="75"/>
      <c r="D3" s="75"/>
      <c r="E3" s="75"/>
      <c r="F3" s="75"/>
      <c r="G3" s="74"/>
      <c r="N3" s="75" t="s">
        <v>8</v>
      </c>
      <c r="O3" s="75"/>
      <c r="P3" s="75"/>
    </row>
    <row r="4" spans="2:20" ht="12.75" x14ac:dyDescent="0.2">
      <c r="B4" s="75" t="str">
        <f>Assumptions!B8</f>
        <v>Estimated Capital Costs</v>
      </c>
      <c r="C4" s="75"/>
      <c r="D4" s="75"/>
      <c r="E4" s="75"/>
      <c r="F4" s="75"/>
      <c r="G4" s="74"/>
      <c r="N4" s="75" t="s">
        <v>85</v>
      </c>
      <c r="O4" s="75"/>
      <c r="P4" s="75"/>
    </row>
    <row r="5" spans="2:20" ht="12.75" x14ac:dyDescent="0.2">
      <c r="B5" s="100" t="s">
        <v>41</v>
      </c>
      <c r="C5" s="83"/>
      <c r="D5" s="83"/>
      <c r="E5" s="83"/>
      <c r="F5" s="83"/>
      <c r="G5" s="84"/>
      <c r="N5" s="100" t="s">
        <v>99</v>
      </c>
      <c r="O5" s="100"/>
      <c r="P5" s="100"/>
    </row>
    <row r="6" spans="2:20" ht="15" thickBot="1" x14ac:dyDescent="0.25">
      <c r="N6" s="703"/>
      <c r="O6" s="703"/>
      <c r="P6" s="703"/>
    </row>
    <row r="7" spans="2:20" ht="15" thickBot="1" x14ac:dyDescent="0.25">
      <c r="B7" s="61" t="s">
        <v>4</v>
      </c>
      <c r="C7" s="62" t="s">
        <v>5</v>
      </c>
      <c r="D7" s="62" t="s">
        <v>1</v>
      </c>
      <c r="E7" s="62" t="s">
        <v>0</v>
      </c>
      <c r="F7" s="78" t="s">
        <v>10</v>
      </c>
      <c r="G7" s="79" t="s">
        <v>9</v>
      </c>
      <c r="N7" s="114" t="s">
        <v>25</v>
      </c>
      <c r="O7" s="114" t="s">
        <v>1</v>
      </c>
      <c r="P7" s="114" t="s">
        <v>0</v>
      </c>
      <c r="S7" s="60">
        <v>0.78</v>
      </c>
    </row>
    <row r="8" spans="2:20" x14ac:dyDescent="0.2">
      <c r="B8" s="72"/>
      <c r="C8" s="63"/>
      <c r="D8" s="63"/>
      <c r="E8" s="68"/>
      <c r="F8" s="68"/>
      <c r="G8" s="76"/>
      <c r="N8" s="47"/>
      <c r="O8" s="43"/>
      <c r="P8" s="43"/>
    </row>
    <row r="9" spans="2:20" x14ac:dyDescent="0.2">
      <c r="B9" s="81" t="s">
        <v>12</v>
      </c>
      <c r="C9" s="65">
        <v>1</v>
      </c>
      <c r="D9" s="82" t="s">
        <v>2</v>
      </c>
      <c r="E9" s="64">
        <f>(SUM($F$10:$F$23))*Assumptions!$C$9</f>
        <v>540790</v>
      </c>
      <c r="F9" s="64">
        <f>+MROUND(C9*E9,100)</f>
        <v>540800</v>
      </c>
      <c r="G9" s="77" t="str">
        <f>CONCATENATE(Assumptions!C9*100,"%"," ","of Other Items")</f>
        <v>5% of Other Items</v>
      </c>
      <c r="N9" s="46" t="s">
        <v>82</v>
      </c>
      <c r="O9" s="42" t="s">
        <v>49</v>
      </c>
      <c r="P9" s="48">
        <v>585000</v>
      </c>
      <c r="R9" s="48">
        <v>750000</v>
      </c>
      <c r="S9" s="147">
        <f>R9*$S$7</f>
        <v>585000</v>
      </c>
    </row>
    <row r="10" spans="2:20" x14ac:dyDescent="0.2">
      <c r="B10" s="50" t="s">
        <v>76</v>
      </c>
      <c r="C10" s="51">
        <v>34000</v>
      </c>
      <c r="D10" s="52" t="str">
        <f>IF($B10=$N$8," ",(VLOOKUP($B10,$N$9:$P$23,2)))</f>
        <v>L.F.</v>
      </c>
      <c r="E10" s="53">
        <f>IF($B10=$N$8,0,(VLOOKUP($B10,$N$9:$P$23,3)))</f>
        <v>125</v>
      </c>
      <c r="F10" s="53">
        <f t="shared" ref="F10:F22" si="0">+MROUND(C10*E10,100)</f>
        <v>4250000</v>
      </c>
      <c r="G10" s="99" t="s">
        <v>11</v>
      </c>
      <c r="N10" s="46" t="s">
        <v>77</v>
      </c>
      <c r="O10" s="42" t="s">
        <v>21</v>
      </c>
      <c r="P10" s="48">
        <v>120</v>
      </c>
      <c r="R10" s="48">
        <v>150</v>
      </c>
      <c r="S10" s="147">
        <f t="shared" ref="S10:S23" si="1">R10*$S$7</f>
        <v>117</v>
      </c>
    </row>
    <row r="11" spans="2:20" x14ac:dyDescent="0.2">
      <c r="B11" s="50" t="s">
        <v>78</v>
      </c>
      <c r="C11" s="51">
        <v>1500</v>
      </c>
      <c r="D11" s="52" t="str">
        <f t="shared" ref="D11:D23" si="2">IF($B11=$N$8," ",(VLOOKUP($B11,$N$9:$P$23,2)))</f>
        <v>L.F.</v>
      </c>
      <c r="E11" s="53">
        <f t="shared" ref="E11:E23" si="3">IF($B11=$N$8,0,(VLOOKUP($B11,$N$9:$P$23,3)))</f>
        <v>100</v>
      </c>
      <c r="F11" s="54">
        <f t="shared" si="0"/>
        <v>150000</v>
      </c>
      <c r="G11" s="99" t="s">
        <v>11</v>
      </c>
      <c r="N11" s="46" t="s">
        <v>76</v>
      </c>
      <c r="O11" s="42" t="s">
        <v>21</v>
      </c>
      <c r="P11" s="48">
        <v>125</v>
      </c>
      <c r="R11" s="48">
        <v>160</v>
      </c>
      <c r="S11" s="147">
        <f t="shared" si="1"/>
        <v>124.80000000000001</v>
      </c>
    </row>
    <row r="12" spans="2:20" x14ac:dyDescent="0.2">
      <c r="B12" s="50" t="s">
        <v>82</v>
      </c>
      <c r="C12" s="51">
        <v>4</v>
      </c>
      <c r="D12" s="52" t="str">
        <f t="shared" si="2"/>
        <v>Each</v>
      </c>
      <c r="E12" s="53">
        <f t="shared" si="3"/>
        <v>585000</v>
      </c>
      <c r="F12" s="54">
        <f t="shared" si="0"/>
        <v>2340000</v>
      </c>
      <c r="G12" s="99" t="s">
        <v>11</v>
      </c>
      <c r="N12" s="46" t="s">
        <v>94</v>
      </c>
      <c r="O12" s="42" t="s">
        <v>49</v>
      </c>
      <c r="P12" s="48">
        <v>7800</v>
      </c>
      <c r="R12" s="48">
        <f>(100*75)+2500</f>
        <v>10000</v>
      </c>
      <c r="S12" s="147">
        <f t="shared" si="1"/>
        <v>7800</v>
      </c>
      <c r="T12" s="60" t="s">
        <v>232</v>
      </c>
    </row>
    <row r="13" spans="2:20" x14ac:dyDescent="0.2">
      <c r="B13" s="50" t="s">
        <v>77</v>
      </c>
      <c r="C13" s="51">
        <v>11000</v>
      </c>
      <c r="D13" s="52" t="str">
        <f t="shared" si="2"/>
        <v>L.F.</v>
      </c>
      <c r="E13" s="53">
        <f t="shared" si="3"/>
        <v>120</v>
      </c>
      <c r="F13" s="54">
        <f t="shared" si="0"/>
        <v>1320000</v>
      </c>
      <c r="G13" s="99" t="s">
        <v>11</v>
      </c>
      <c r="N13" s="46" t="s">
        <v>78</v>
      </c>
      <c r="O13" s="42" t="s">
        <v>21</v>
      </c>
      <c r="P13" s="48">
        <v>100</v>
      </c>
      <c r="R13" s="48">
        <v>125</v>
      </c>
      <c r="S13" s="147">
        <f t="shared" si="1"/>
        <v>97.5</v>
      </c>
    </row>
    <row r="14" spans="2:20" x14ac:dyDescent="0.2">
      <c r="B14" s="50" t="s">
        <v>94</v>
      </c>
      <c r="C14" s="51">
        <v>341</v>
      </c>
      <c r="D14" s="52" t="str">
        <f t="shared" si="2"/>
        <v>Each</v>
      </c>
      <c r="E14" s="53">
        <f t="shared" si="3"/>
        <v>7800</v>
      </c>
      <c r="F14" s="54">
        <f t="shared" si="0"/>
        <v>2659800</v>
      </c>
      <c r="G14" s="99" t="s">
        <v>11</v>
      </c>
      <c r="N14" s="46" t="s">
        <v>95</v>
      </c>
      <c r="O14" s="42" t="s">
        <v>49</v>
      </c>
      <c r="P14" s="48">
        <v>12000</v>
      </c>
      <c r="R14" s="48">
        <v>15000</v>
      </c>
      <c r="S14" s="147">
        <f t="shared" si="1"/>
        <v>11700</v>
      </c>
      <c r="T14" s="60" t="s">
        <v>234</v>
      </c>
    </row>
    <row r="15" spans="2:20" x14ac:dyDescent="0.2">
      <c r="B15" s="50" t="s">
        <v>95</v>
      </c>
      <c r="C15" s="51">
        <v>8</v>
      </c>
      <c r="D15" s="52" t="str">
        <f t="shared" si="2"/>
        <v>Each</v>
      </c>
      <c r="E15" s="53">
        <f t="shared" si="3"/>
        <v>12000</v>
      </c>
      <c r="F15" s="54">
        <f t="shared" si="0"/>
        <v>96000</v>
      </c>
      <c r="G15" s="99" t="s">
        <v>11</v>
      </c>
      <c r="N15" s="46" t="s">
        <v>98</v>
      </c>
      <c r="O15" s="42" t="s">
        <v>49</v>
      </c>
      <c r="P15" s="48">
        <v>7800</v>
      </c>
      <c r="R15" s="48">
        <f>(100*75)+2500</f>
        <v>10000</v>
      </c>
      <c r="S15" s="147">
        <f t="shared" si="1"/>
        <v>7800</v>
      </c>
      <c r="T15" s="60" t="s">
        <v>232</v>
      </c>
    </row>
    <row r="16" spans="2:20" x14ac:dyDescent="0.2">
      <c r="B16" s="50"/>
      <c r="C16" s="51">
        <v>0</v>
      </c>
      <c r="D16" s="52" t="str">
        <f t="shared" si="2"/>
        <v xml:space="preserve"> </v>
      </c>
      <c r="E16" s="118">
        <f t="shared" si="3"/>
        <v>0</v>
      </c>
      <c r="F16" s="54">
        <f t="shared" si="0"/>
        <v>0</v>
      </c>
      <c r="G16" s="99" t="s">
        <v>11</v>
      </c>
      <c r="N16" s="46" t="s">
        <v>87</v>
      </c>
      <c r="O16" s="42" t="s">
        <v>21</v>
      </c>
      <c r="P16" s="48">
        <v>125</v>
      </c>
      <c r="R16" s="48">
        <v>160</v>
      </c>
      <c r="S16" s="147">
        <f t="shared" si="1"/>
        <v>124.80000000000001</v>
      </c>
    </row>
    <row r="17" spans="2:20" x14ac:dyDescent="0.2">
      <c r="B17" s="50"/>
      <c r="C17" s="51">
        <v>0</v>
      </c>
      <c r="D17" s="52" t="str">
        <f t="shared" si="2"/>
        <v xml:space="preserve"> </v>
      </c>
      <c r="E17" s="53">
        <f t="shared" si="3"/>
        <v>0</v>
      </c>
      <c r="F17" s="54">
        <f t="shared" si="0"/>
        <v>0</v>
      </c>
      <c r="G17" s="99" t="s">
        <v>11</v>
      </c>
      <c r="N17" s="46" t="s">
        <v>97</v>
      </c>
      <c r="O17" s="42" t="s">
        <v>49</v>
      </c>
      <c r="P17" s="48">
        <v>10750</v>
      </c>
      <c r="R17" s="48">
        <f>(75*75)+2500+2000+3500</f>
        <v>13625</v>
      </c>
      <c r="S17" s="147">
        <f t="shared" si="1"/>
        <v>10627.5</v>
      </c>
      <c r="T17" s="60" t="s">
        <v>235</v>
      </c>
    </row>
    <row r="18" spans="2:20" x14ac:dyDescent="0.2">
      <c r="B18" s="50"/>
      <c r="C18" s="51">
        <v>0</v>
      </c>
      <c r="D18" s="52" t="str">
        <f t="shared" si="2"/>
        <v xml:space="preserve"> </v>
      </c>
      <c r="E18" s="53">
        <f t="shared" si="3"/>
        <v>0</v>
      </c>
      <c r="F18" s="54">
        <f t="shared" si="0"/>
        <v>0</v>
      </c>
      <c r="G18" s="99" t="s">
        <v>11</v>
      </c>
      <c r="N18" s="46" t="s">
        <v>86</v>
      </c>
      <c r="O18" s="42" t="s">
        <v>21</v>
      </c>
      <c r="P18" s="48">
        <v>100</v>
      </c>
      <c r="R18" s="48">
        <v>125</v>
      </c>
      <c r="S18" s="147">
        <f t="shared" si="1"/>
        <v>97.5</v>
      </c>
    </row>
    <row r="19" spans="2:20" x14ac:dyDescent="0.2">
      <c r="B19" s="50"/>
      <c r="C19" s="51">
        <v>0</v>
      </c>
      <c r="D19" s="52" t="str">
        <f t="shared" si="2"/>
        <v xml:space="preserve"> </v>
      </c>
      <c r="E19" s="53">
        <f t="shared" si="3"/>
        <v>0</v>
      </c>
      <c r="F19" s="54">
        <f t="shared" si="0"/>
        <v>0</v>
      </c>
      <c r="G19" s="99" t="s">
        <v>11</v>
      </c>
      <c r="N19" s="46" t="s">
        <v>80</v>
      </c>
      <c r="O19" s="42" t="s">
        <v>49</v>
      </c>
      <c r="P19" s="48">
        <v>275000</v>
      </c>
      <c r="R19" s="48">
        <v>350000</v>
      </c>
      <c r="S19" s="147">
        <f t="shared" si="1"/>
        <v>273000</v>
      </c>
    </row>
    <row r="20" spans="2:20" x14ac:dyDescent="0.2">
      <c r="B20" s="50"/>
      <c r="C20" s="51">
        <v>0</v>
      </c>
      <c r="D20" s="52" t="str">
        <f t="shared" si="2"/>
        <v xml:space="preserve"> </v>
      </c>
      <c r="E20" s="53">
        <f t="shared" si="3"/>
        <v>0</v>
      </c>
      <c r="F20" s="54">
        <f t="shared" si="0"/>
        <v>0</v>
      </c>
      <c r="G20" s="99" t="s">
        <v>11</v>
      </c>
      <c r="N20" s="46" t="s">
        <v>83</v>
      </c>
      <c r="O20" s="42" t="s">
        <v>49</v>
      </c>
      <c r="P20" s="48">
        <v>860000</v>
      </c>
      <c r="R20" s="48">
        <v>1100000</v>
      </c>
      <c r="S20" s="147">
        <f t="shared" si="1"/>
        <v>858000</v>
      </c>
    </row>
    <row r="21" spans="2:20" x14ac:dyDescent="0.2">
      <c r="B21" s="50"/>
      <c r="C21" s="51">
        <v>0</v>
      </c>
      <c r="D21" s="52" t="str">
        <f t="shared" si="2"/>
        <v xml:space="preserve"> </v>
      </c>
      <c r="E21" s="53">
        <f t="shared" si="3"/>
        <v>0</v>
      </c>
      <c r="F21" s="54">
        <f t="shared" si="0"/>
        <v>0</v>
      </c>
      <c r="G21" s="99" t="s">
        <v>11</v>
      </c>
      <c r="N21" s="46" t="s">
        <v>79</v>
      </c>
      <c r="O21" s="42" t="s">
        <v>21</v>
      </c>
      <c r="P21" s="48">
        <v>110</v>
      </c>
      <c r="R21" s="48">
        <v>140</v>
      </c>
      <c r="S21" s="147">
        <f t="shared" si="1"/>
        <v>109.2</v>
      </c>
    </row>
    <row r="22" spans="2:20" x14ac:dyDescent="0.2">
      <c r="B22" s="50"/>
      <c r="C22" s="51">
        <v>0</v>
      </c>
      <c r="D22" s="52" t="str">
        <f t="shared" si="2"/>
        <v xml:space="preserve"> </v>
      </c>
      <c r="E22" s="53">
        <f t="shared" si="3"/>
        <v>0</v>
      </c>
      <c r="F22" s="54">
        <f t="shared" si="0"/>
        <v>0</v>
      </c>
      <c r="G22" s="99" t="s">
        <v>11</v>
      </c>
      <c r="N22" s="46" t="s">
        <v>96</v>
      </c>
      <c r="O22" s="42" t="s">
        <v>49</v>
      </c>
      <c r="P22" s="48">
        <v>10250</v>
      </c>
      <c r="R22" s="48">
        <f>(75*75)+5000+2500</f>
        <v>13125</v>
      </c>
      <c r="S22" s="147">
        <f t="shared" si="1"/>
        <v>10237.5</v>
      </c>
      <c r="T22" s="60" t="s">
        <v>233</v>
      </c>
    </row>
    <row r="23" spans="2:20" x14ac:dyDescent="0.2">
      <c r="B23" s="50"/>
      <c r="C23" s="51">
        <v>0</v>
      </c>
      <c r="D23" s="52" t="str">
        <f t="shared" si="2"/>
        <v xml:space="preserve"> </v>
      </c>
      <c r="E23" s="53">
        <f t="shared" si="3"/>
        <v>0</v>
      </c>
      <c r="F23" s="54">
        <f t="shared" ref="F23" si="4">+MROUND(C23*E23,1000)</f>
        <v>0</v>
      </c>
      <c r="G23" s="99" t="s">
        <v>11</v>
      </c>
      <c r="N23" s="46" t="s">
        <v>81</v>
      </c>
      <c r="O23" s="42" t="s">
        <v>49</v>
      </c>
      <c r="P23" s="48">
        <v>470000</v>
      </c>
      <c r="R23" s="48">
        <v>600000</v>
      </c>
      <c r="S23" s="147">
        <f t="shared" si="1"/>
        <v>468000</v>
      </c>
    </row>
    <row r="24" spans="2:20" ht="12.75" x14ac:dyDescent="0.2">
      <c r="B24" s="72"/>
      <c r="C24" s="63"/>
      <c r="D24" s="90" t="s">
        <v>3</v>
      </c>
      <c r="E24" s="68"/>
      <c r="F24" s="93">
        <f>+SUM(F9:F23)</f>
        <v>11356600</v>
      </c>
      <c r="G24" s="98"/>
      <c r="N24" s="123"/>
      <c r="O24" s="123"/>
      <c r="P24" s="123"/>
    </row>
    <row r="25" spans="2:20" x14ac:dyDescent="0.2">
      <c r="B25" s="72"/>
      <c r="D25" s="91" t="str">
        <f>Assumptions!$B$10</f>
        <v>Overhead and Profit</v>
      </c>
      <c r="E25" s="95">
        <f>Assumptions!$C$10</f>
        <v>0.22</v>
      </c>
      <c r="F25" s="67">
        <f>+MROUND(F24*E25,100)</f>
        <v>2498500</v>
      </c>
      <c r="G25" s="77"/>
    </row>
    <row r="26" spans="2:20" x14ac:dyDescent="0.2">
      <c r="B26" s="72"/>
      <c r="D26" s="91" t="s">
        <v>3</v>
      </c>
      <c r="E26" s="66"/>
      <c r="F26" s="92">
        <f>F25+F24</f>
        <v>13855100</v>
      </c>
      <c r="G26" s="77"/>
    </row>
    <row r="27" spans="2:20" x14ac:dyDescent="0.2">
      <c r="B27" s="72"/>
      <c r="D27" s="91" t="str">
        <f>Assumptions!$B$11</f>
        <v>Contingency</v>
      </c>
      <c r="E27" s="96">
        <f>Assumptions!$C$11</f>
        <v>0.25</v>
      </c>
      <c r="F27" s="64">
        <f>+MROUND((F26)*E27,100)</f>
        <v>3463800</v>
      </c>
      <c r="G27" s="77"/>
      <c r="N27" s="41"/>
      <c r="O27" s="41"/>
      <c r="P27" s="41"/>
    </row>
    <row r="28" spans="2:20" x14ac:dyDescent="0.2">
      <c r="B28" s="72"/>
      <c r="D28" s="91" t="s">
        <v>36</v>
      </c>
      <c r="E28" s="96"/>
      <c r="F28" s="93">
        <f>SUM(F26:F27)</f>
        <v>17318900</v>
      </c>
      <c r="G28" s="77"/>
      <c r="N28" s="41"/>
      <c r="O28" s="41"/>
      <c r="P28" s="41"/>
    </row>
    <row r="29" spans="2:20" x14ac:dyDescent="0.2">
      <c r="B29" s="72"/>
      <c r="D29" s="91" t="str">
        <f>Assumptions!$B$12</f>
        <v>Town Administration and Engineering</v>
      </c>
      <c r="E29" s="96"/>
      <c r="F29" s="64"/>
      <c r="G29" s="77"/>
      <c r="N29" s="41"/>
      <c r="O29" s="41"/>
      <c r="P29" s="41"/>
    </row>
    <row r="30" spans="2:20" x14ac:dyDescent="0.2">
      <c r="B30" s="72"/>
      <c r="D30" s="91" t="str">
        <f>Assumptions!$B$13</f>
        <v>Town Administration</v>
      </c>
      <c r="E30" s="96">
        <f>Assumptions!$C$13</f>
        <v>0.05</v>
      </c>
      <c r="F30" s="64">
        <f>+MROUND($F$28*E30,100)+800000</f>
        <v>1665900</v>
      </c>
      <c r="G30" s="77" t="s">
        <v>267</v>
      </c>
      <c r="N30" s="41"/>
      <c r="O30" s="41"/>
      <c r="P30" s="41"/>
    </row>
    <row r="31" spans="2:20" x14ac:dyDescent="0.2">
      <c r="B31" s="72"/>
      <c r="D31" s="91" t="str">
        <f>Assumptions!$B$14</f>
        <v>Engineering - Planning/Consultation</v>
      </c>
      <c r="E31" s="96">
        <f>Assumptions!$C$14</f>
        <v>0.05</v>
      </c>
      <c r="F31" s="64">
        <f t="shared" ref="F31:F33" si="5">+MROUND($F$28*E31,100)</f>
        <v>865900</v>
      </c>
      <c r="G31" s="77"/>
      <c r="N31" s="41"/>
      <c r="O31" s="41"/>
      <c r="P31" s="41"/>
    </row>
    <row r="32" spans="2:20" x14ac:dyDescent="0.2">
      <c r="B32" s="72"/>
      <c r="D32" s="91" t="str">
        <f>Assumptions!$B$15</f>
        <v>Engineering - Design</v>
      </c>
      <c r="E32" s="96">
        <f>Assumptions!$C$15</f>
        <v>0.1</v>
      </c>
      <c r="F32" s="64">
        <f t="shared" si="5"/>
        <v>1731900</v>
      </c>
      <c r="G32" s="77"/>
      <c r="N32" s="41"/>
      <c r="O32" s="41"/>
      <c r="P32" s="41"/>
    </row>
    <row r="33" spans="2:16" x14ac:dyDescent="0.2">
      <c r="B33" s="72"/>
      <c r="D33" s="91" t="str">
        <f>Assumptions!$B$16</f>
        <v>Engineering - Construction</v>
      </c>
      <c r="E33" s="96">
        <f>Assumptions!$C$16</f>
        <v>0.15</v>
      </c>
      <c r="F33" s="64">
        <f t="shared" si="5"/>
        <v>2597800</v>
      </c>
      <c r="G33" s="77"/>
      <c r="N33" s="41"/>
      <c r="O33" s="41"/>
      <c r="P33" s="41"/>
    </row>
    <row r="34" spans="2:16" x14ac:dyDescent="0.2">
      <c r="B34" s="32"/>
      <c r="C34" s="63"/>
      <c r="D34" s="94" t="s">
        <v>19</v>
      </c>
      <c r="E34" s="68"/>
      <c r="F34" s="124">
        <f>SUM(F28:F33)</f>
        <v>24180400</v>
      </c>
      <c r="G34" s="98" t="str">
        <f>CONCATENATE(Assumptions!B57," ","="," ",Assumptions!C57," ","(",Assumptions!E57,")")</f>
        <v>Engineering News Record (ENR) = 10182 (Feb. 2016)</v>
      </c>
      <c r="N34" s="41"/>
      <c r="O34" s="41"/>
      <c r="P34" s="41"/>
    </row>
    <row r="35" spans="2:16" ht="15" thickBot="1" x14ac:dyDescent="0.25">
      <c r="B35" s="73"/>
      <c r="C35" s="70"/>
      <c r="D35" s="70"/>
      <c r="E35" s="71"/>
      <c r="F35" s="71"/>
      <c r="G35" s="80"/>
      <c r="N35" s="41"/>
      <c r="O35" s="41"/>
      <c r="P35" s="41"/>
    </row>
    <row r="36" spans="2:16" x14ac:dyDescent="0.2">
      <c r="B36" s="63"/>
      <c r="C36" s="63"/>
      <c r="D36" s="63"/>
      <c r="E36" s="68"/>
      <c r="F36" s="68"/>
      <c r="G36" s="69"/>
      <c r="N36" s="41"/>
      <c r="O36" s="41"/>
      <c r="P36" s="41"/>
    </row>
    <row r="37" spans="2:16" s="63" customFormat="1" x14ac:dyDescent="0.2">
      <c r="B37" s="60"/>
      <c r="C37" s="60"/>
      <c r="D37" s="60"/>
      <c r="E37" s="60"/>
      <c r="F37" s="60"/>
      <c r="G37" s="60"/>
      <c r="N37" s="41"/>
      <c r="O37" s="41"/>
      <c r="P37" s="41"/>
    </row>
    <row r="38" spans="2:16" x14ac:dyDescent="0.2">
      <c r="B38" s="75" t="s">
        <v>7</v>
      </c>
      <c r="C38" s="75"/>
      <c r="D38" s="75"/>
      <c r="E38" s="75"/>
      <c r="F38" s="75"/>
      <c r="G38" s="74"/>
      <c r="N38" s="41"/>
      <c r="O38" s="41"/>
      <c r="P38" s="41"/>
    </row>
    <row r="39" spans="2:16" x14ac:dyDescent="0.2">
      <c r="B39" s="75" t="s">
        <v>8</v>
      </c>
      <c r="C39" s="75"/>
      <c r="D39" s="75"/>
      <c r="E39" s="75"/>
      <c r="F39" s="75"/>
      <c r="G39" s="74"/>
      <c r="N39" s="44"/>
      <c r="P39" s="45"/>
    </row>
    <row r="40" spans="2:16" x14ac:dyDescent="0.2">
      <c r="B40" s="83" t="str">
        <f>Assumptions!B20</f>
        <v>Estimated Annual Operation and Maintenance Costs</v>
      </c>
      <c r="C40" s="83"/>
      <c r="D40" s="83"/>
      <c r="E40" s="83"/>
      <c r="F40" s="83"/>
      <c r="G40" s="84"/>
      <c r="N40" s="44"/>
      <c r="P40" s="45"/>
    </row>
    <row r="41" spans="2:16" x14ac:dyDescent="0.2">
      <c r="B41" s="83" t="str">
        <f>B5</f>
        <v xml:space="preserve">Collection System - Downtown Area </v>
      </c>
      <c r="C41" s="83"/>
      <c r="D41" s="83"/>
      <c r="E41" s="83"/>
      <c r="F41" s="83"/>
      <c r="G41" s="84"/>
      <c r="N41" s="44"/>
      <c r="P41" s="45"/>
    </row>
    <row r="42" spans="2:16" ht="15" thickBot="1" x14ac:dyDescent="0.25">
      <c r="B42" s="85"/>
      <c r="C42" s="85"/>
      <c r="D42" s="85"/>
      <c r="E42" s="85"/>
      <c r="F42" s="85"/>
      <c r="G42" s="85"/>
      <c r="N42" s="44"/>
      <c r="P42" s="45"/>
    </row>
    <row r="43" spans="2:16" ht="15" thickBot="1" x14ac:dyDescent="0.25">
      <c r="B43" s="86" t="s">
        <v>4</v>
      </c>
      <c r="C43" s="87" t="s">
        <v>5</v>
      </c>
      <c r="D43" s="87" t="s">
        <v>1</v>
      </c>
      <c r="E43" s="87" t="s">
        <v>0</v>
      </c>
      <c r="F43" s="88" t="s">
        <v>10</v>
      </c>
      <c r="G43" s="89" t="s">
        <v>9</v>
      </c>
      <c r="N43" s="44"/>
      <c r="P43" s="45"/>
    </row>
    <row r="44" spans="2:16" x14ac:dyDescent="0.2">
      <c r="B44" s="72"/>
      <c r="C44" s="63"/>
      <c r="D44" s="63"/>
      <c r="E44" s="68"/>
      <c r="F44" s="68"/>
      <c r="G44" s="76"/>
      <c r="N44" s="44"/>
      <c r="P44" s="45"/>
    </row>
    <row r="45" spans="2:16" x14ac:dyDescent="0.2">
      <c r="B45" s="50" t="s">
        <v>161</v>
      </c>
      <c r="C45" s="51">
        <v>1040</v>
      </c>
      <c r="D45" s="55" t="s">
        <v>47</v>
      </c>
      <c r="E45" s="56">
        <v>65</v>
      </c>
      <c r="F45" s="54">
        <f>+MROUND(C45*E45,100)</f>
        <v>67600</v>
      </c>
      <c r="G45" s="99" t="s">
        <v>456</v>
      </c>
      <c r="N45" s="44"/>
      <c r="P45" s="45"/>
    </row>
    <row r="46" spans="2:16" x14ac:dyDescent="0.2">
      <c r="B46" s="50" t="s">
        <v>162</v>
      </c>
      <c r="C46" s="51">
        <v>4</v>
      </c>
      <c r="D46" s="55" t="s">
        <v>56</v>
      </c>
      <c r="E46" s="56">
        <v>30000</v>
      </c>
      <c r="F46" s="54">
        <f t="shared" ref="F46:F54" si="6">+MROUND(C46*E46,100)</f>
        <v>120000</v>
      </c>
      <c r="G46" s="99" t="s">
        <v>172</v>
      </c>
      <c r="N46" s="44"/>
      <c r="P46" s="45"/>
    </row>
    <row r="47" spans="2:16" x14ac:dyDescent="0.2">
      <c r="B47" s="50" t="s">
        <v>169</v>
      </c>
      <c r="C47" s="51">
        <f>C10/4</f>
        <v>8500</v>
      </c>
      <c r="D47" s="55" t="s">
        <v>21</v>
      </c>
      <c r="E47" s="56">
        <v>5</v>
      </c>
      <c r="F47" s="54">
        <f t="shared" si="6"/>
        <v>42500</v>
      </c>
      <c r="G47" s="99" t="s">
        <v>170</v>
      </c>
      <c r="N47" s="44"/>
      <c r="P47" s="45"/>
    </row>
    <row r="48" spans="2:16" x14ac:dyDescent="0.2">
      <c r="B48" s="50" t="s">
        <v>84</v>
      </c>
      <c r="C48" s="51">
        <f>C15</f>
        <v>8</v>
      </c>
      <c r="D48" s="55" t="s">
        <v>56</v>
      </c>
      <c r="E48" s="56">
        <v>75</v>
      </c>
      <c r="F48" s="54">
        <f t="shared" si="6"/>
        <v>600</v>
      </c>
      <c r="G48" s="99" t="s">
        <v>178</v>
      </c>
      <c r="N48" s="44"/>
      <c r="P48" s="45"/>
    </row>
    <row r="49" spans="2:16" x14ac:dyDescent="0.2">
      <c r="B49" s="50" t="s">
        <v>11</v>
      </c>
      <c r="C49" s="51">
        <v>0</v>
      </c>
      <c r="D49" s="55"/>
      <c r="E49" s="56">
        <v>0</v>
      </c>
      <c r="F49" s="54">
        <f t="shared" si="6"/>
        <v>0</v>
      </c>
      <c r="G49" s="99" t="s">
        <v>11</v>
      </c>
      <c r="N49" s="44"/>
      <c r="P49" s="45"/>
    </row>
    <row r="50" spans="2:16" x14ac:dyDescent="0.2">
      <c r="B50" s="50" t="s">
        <v>11</v>
      </c>
      <c r="C50" s="51">
        <v>0</v>
      </c>
      <c r="D50" s="55"/>
      <c r="E50" s="56">
        <v>0</v>
      </c>
      <c r="F50" s="54">
        <f t="shared" si="6"/>
        <v>0</v>
      </c>
      <c r="G50" s="99" t="s">
        <v>11</v>
      </c>
      <c r="N50" s="44"/>
      <c r="P50" s="45"/>
    </row>
    <row r="51" spans="2:16" x14ac:dyDescent="0.2">
      <c r="B51" s="50" t="s">
        <v>11</v>
      </c>
      <c r="C51" s="51">
        <v>0</v>
      </c>
      <c r="D51" s="55"/>
      <c r="E51" s="56">
        <v>0</v>
      </c>
      <c r="F51" s="54">
        <f t="shared" si="6"/>
        <v>0</v>
      </c>
      <c r="G51" s="99" t="s">
        <v>11</v>
      </c>
      <c r="N51" s="44"/>
      <c r="P51" s="45"/>
    </row>
    <row r="52" spans="2:16" x14ac:dyDescent="0.2">
      <c r="B52" s="50" t="s">
        <v>11</v>
      </c>
      <c r="C52" s="51">
        <v>0</v>
      </c>
      <c r="D52" s="55"/>
      <c r="E52" s="56">
        <v>0</v>
      </c>
      <c r="F52" s="54">
        <f t="shared" si="6"/>
        <v>0</v>
      </c>
      <c r="G52" s="99" t="s">
        <v>11</v>
      </c>
      <c r="N52" s="44"/>
      <c r="P52" s="45"/>
    </row>
    <row r="53" spans="2:16" x14ac:dyDescent="0.2">
      <c r="B53" s="50" t="s">
        <v>11</v>
      </c>
      <c r="C53" s="51">
        <v>0</v>
      </c>
      <c r="D53" s="55"/>
      <c r="E53" s="56">
        <v>0</v>
      </c>
      <c r="F53" s="54">
        <f t="shared" si="6"/>
        <v>0</v>
      </c>
      <c r="G53" s="99" t="s">
        <v>11</v>
      </c>
      <c r="N53" s="44"/>
      <c r="P53" s="45"/>
    </row>
    <row r="54" spans="2:16" x14ac:dyDescent="0.2">
      <c r="B54" s="50" t="s">
        <v>11</v>
      </c>
      <c r="C54" s="51">
        <v>0</v>
      </c>
      <c r="D54" s="55"/>
      <c r="E54" s="56">
        <v>0</v>
      </c>
      <c r="F54" s="54">
        <f t="shared" si="6"/>
        <v>0</v>
      </c>
      <c r="G54" s="99" t="s">
        <v>11</v>
      </c>
      <c r="N54" s="44"/>
      <c r="P54" s="45"/>
    </row>
    <row r="55" spans="2:16" x14ac:dyDescent="0.2">
      <c r="B55" s="72"/>
      <c r="C55" s="63"/>
      <c r="D55" s="90" t="s">
        <v>3</v>
      </c>
      <c r="E55" s="68"/>
      <c r="F55" s="93">
        <f>SUM(F45:F54)</f>
        <v>230700</v>
      </c>
      <c r="G55" s="98"/>
      <c r="N55" s="44"/>
      <c r="P55" s="45"/>
    </row>
    <row r="56" spans="2:16" x14ac:dyDescent="0.2">
      <c r="B56" s="72"/>
      <c r="D56" s="91" t="str">
        <f>Assumptions!B21</f>
        <v>Contingency</v>
      </c>
      <c r="E56" s="95">
        <f>Assumptions!C21</f>
        <v>0.1</v>
      </c>
      <c r="F56" s="64">
        <f>+MROUND((F55)*E56,100)</f>
        <v>23100</v>
      </c>
      <c r="G56" s="77"/>
      <c r="N56" s="44"/>
      <c r="P56" s="45"/>
    </row>
    <row r="57" spans="2:16" x14ac:dyDescent="0.2">
      <c r="B57" s="72"/>
      <c r="D57" s="91" t="s">
        <v>3</v>
      </c>
      <c r="E57" s="66"/>
      <c r="F57" s="93">
        <f>SUM(F55:F56)</f>
        <v>253800</v>
      </c>
      <c r="G57" s="77"/>
    </row>
    <row r="58" spans="2:16" x14ac:dyDescent="0.2">
      <c r="B58" s="72"/>
      <c r="D58" s="91" t="str">
        <f>Assumptions!B22</f>
        <v>Town Administration and Engineering</v>
      </c>
      <c r="E58" s="96"/>
      <c r="F58" s="64"/>
      <c r="G58" s="77"/>
    </row>
    <row r="59" spans="2:16" x14ac:dyDescent="0.2">
      <c r="B59" s="72"/>
      <c r="D59" s="91" t="str">
        <f>Assumptions!B23</f>
        <v>Town Administration</v>
      </c>
      <c r="E59" s="96">
        <f>Assumptions!C23</f>
        <v>0.03</v>
      </c>
      <c r="F59" s="64">
        <f>+MROUND($F$57*E59,100)</f>
        <v>7600</v>
      </c>
      <c r="G59" s="77"/>
    </row>
    <row r="60" spans="2:16" x14ac:dyDescent="0.2">
      <c r="B60" s="72"/>
      <c r="D60" s="91" t="str">
        <f>Assumptions!B24</f>
        <v>Engineering - Planning/Consultation</v>
      </c>
      <c r="E60" s="96">
        <f>Assumptions!C24</f>
        <v>0</v>
      </c>
      <c r="F60" s="64">
        <f>+MROUND($F$57*E60,100)</f>
        <v>0</v>
      </c>
      <c r="G60" s="77"/>
    </row>
    <row r="61" spans="2:16" x14ac:dyDescent="0.2">
      <c r="B61" s="72"/>
      <c r="D61" s="91" t="str">
        <f>Assumptions!B25</f>
        <v>Engineering - Design</v>
      </c>
      <c r="E61" s="96">
        <f>Assumptions!C25</f>
        <v>0</v>
      </c>
      <c r="F61" s="64">
        <f>+MROUND($F$57*E61,100)</f>
        <v>0</v>
      </c>
      <c r="G61" s="77"/>
    </row>
    <row r="62" spans="2:16" x14ac:dyDescent="0.2">
      <c r="B62" s="72"/>
      <c r="D62" s="91" t="str">
        <f>Assumptions!B26</f>
        <v>Engineering - Construction</v>
      </c>
      <c r="E62" s="96">
        <f>Assumptions!C26</f>
        <v>0</v>
      </c>
      <c r="F62" s="64">
        <f>+MROUND($F$57*E62,100)</f>
        <v>0</v>
      </c>
      <c r="G62" s="77"/>
    </row>
    <row r="63" spans="2:16" x14ac:dyDescent="0.2">
      <c r="B63" s="32"/>
      <c r="C63" s="63"/>
      <c r="D63" s="94" t="s">
        <v>18</v>
      </c>
      <c r="F63" s="124">
        <f>SUM(F57:F62)</f>
        <v>261400</v>
      </c>
      <c r="G63" s="98" t="str">
        <f>G34</f>
        <v>Engineering News Record (ENR) = 10182 (Feb. 2016)</v>
      </c>
    </row>
    <row r="64" spans="2:16" ht="15" thickBot="1" x14ac:dyDescent="0.25">
      <c r="B64" s="73"/>
      <c r="C64" s="70"/>
      <c r="D64" s="70"/>
      <c r="E64" s="71"/>
      <c r="F64" s="71"/>
      <c r="G64" s="80"/>
    </row>
    <row r="65" spans="2:16" x14ac:dyDescent="0.2">
      <c r="B65" s="63"/>
      <c r="C65" s="63"/>
      <c r="D65" s="63"/>
      <c r="E65" s="68"/>
      <c r="F65" s="68"/>
      <c r="G65" s="69"/>
    </row>
    <row r="67" spans="2:16" x14ac:dyDescent="0.2">
      <c r="B67" s="75" t="s">
        <v>7</v>
      </c>
      <c r="C67" s="75"/>
      <c r="D67" s="75"/>
      <c r="E67" s="75"/>
      <c r="F67" s="75"/>
      <c r="G67" s="74"/>
    </row>
    <row r="68" spans="2:16" x14ac:dyDescent="0.2">
      <c r="B68" s="75" t="s">
        <v>8</v>
      </c>
      <c r="C68" s="75"/>
      <c r="D68" s="75"/>
      <c r="E68" s="75"/>
      <c r="F68" s="75"/>
      <c r="G68" s="74"/>
    </row>
    <row r="69" spans="2:16" x14ac:dyDescent="0.2">
      <c r="B69" s="83" t="str">
        <f>Assumptions!B32</f>
        <v>Estimated Replacement Costs</v>
      </c>
      <c r="C69" s="83"/>
      <c r="D69" s="83"/>
      <c r="E69" s="83"/>
      <c r="F69" s="83"/>
      <c r="G69" s="84"/>
      <c r="P69" s="39"/>
    </row>
    <row r="70" spans="2:16" x14ac:dyDescent="0.2">
      <c r="B70" s="83" t="str">
        <f>B5</f>
        <v xml:space="preserve">Collection System - Downtown Area </v>
      </c>
      <c r="C70" s="83"/>
      <c r="D70" s="83"/>
      <c r="E70" s="83"/>
      <c r="F70" s="83"/>
      <c r="G70" s="84"/>
      <c r="P70" s="39"/>
    </row>
    <row r="71" spans="2:16" ht="15" thickBot="1" x14ac:dyDescent="0.25">
      <c r="P71" s="39"/>
    </row>
    <row r="72" spans="2:16" ht="15" thickBot="1" x14ac:dyDescent="0.25">
      <c r="B72" s="61" t="s">
        <v>4</v>
      </c>
      <c r="C72" s="62" t="s">
        <v>5</v>
      </c>
      <c r="D72" s="62" t="s">
        <v>1</v>
      </c>
      <c r="E72" s="62" t="s">
        <v>0</v>
      </c>
      <c r="F72" s="78" t="s">
        <v>10</v>
      </c>
      <c r="G72" s="79" t="s">
        <v>9</v>
      </c>
    </row>
    <row r="73" spans="2:16" x14ac:dyDescent="0.2">
      <c r="B73" s="72"/>
      <c r="C73" s="63"/>
      <c r="D73" s="63"/>
      <c r="E73" s="68"/>
      <c r="F73" s="68"/>
      <c r="G73" s="76"/>
      <c r="P73" s="39"/>
    </row>
    <row r="74" spans="2:16" s="103" customFormat="1" x14ac:dyDescent="0.2">
      <c r="B74" s="102" t="str">
        <f>Assumptions!B33</f>
        <v>Mobilization and Demobilization</v>
      </c>
      <c r="C74" s="109">
        <v>1</v>
      </c>
      <c r="D74" s="110" t="s">
        <v>2</v>
      </c>
      <c r="E74" s="64">
        <f>(SUM($F$75:$F$83))*Assumptions!$C$9</f>
        <v>1015</v>
      </c>
      <c r="F74" s="111">
        <f>+MROUND(C74*E74,100)</f>
        <v>1000</v>
      </c>
      <c r="G74" s="112" t="str">
        <f>CONCATENATE(Assumptions!C33*100,"%"," ","of Other Items")</f>
        <v>5% of Other Items</v>
      </c>
      <c r="N74" s="39"/>
      <c r="O74" s="39"/>
      <c r="P74" s="40"/>
    </row>
    <row r="75" spans="2:16" x14ac:dyDescent="0.2">
      <c r="B75" s="50" t="s">
        <v>33</v>
      </c>
      <c r="C75" s="51">
        <v>1</v>
      </c>
      <c r="D75" s="55" t="s">
        <v>31</v>
      </c>
      <c r="E75" s="56">
        <f>((F12*(1+E25))*(1+E27))*0.005</f>
        <v>17842.5</v>
      </c>
      <c r="F75" s="54">
        <f t="shared" ref="F75:F83" si="7">+MROUND(C75*E75,100)</f>
        <v>17800</v>
      </c>
      <c r="G75" s="99" t="s">
        <v>454</v>
      </c>
      <c r="P75" s="39"/>
    </row>
    <row r="76" spans="2:16" x14ac:dyDescent="0.2">
      <c r="B76" s="50" t="s">
        <v>173</v>
      </c>
      <c r="C76" s="51">
        <v>1</v>
      </c>
      <c r="D76" s="55" t="s">
        <v>56</v>
      </c>
      <c r="E76" s="56">
        <v>2500</v>
      </c>
      <c r="F76" s="54">
        <f t="shared" si="7"/>
        <v>2500</v>
      </c>
      <c r="G76" s="99" t="s">
        <v>455</v>
      </c>
    </row>
    <row r="77" spans="2:16" x14ac:dyDescent="0.2">
      <c r="B77" s="50" t="s">
        <v>11</v>
      </c>
      <c r="C77" s="51">
        <v>0</v>
      </c>
      <c r="D77" s="55"/>
      <c r="E77" s="56">
        <v>0</v>
      </c>
      <c r="F77" s="54">
        <f t="shared" si="7"/>
        <v>0</v>
      </c>
      <c r="G77" s="99" t="s">
        <v>11</v>
      </c>
    </row>
    <row r="78" spans="2:16" x14ac:dyDescent="0.2">
      <c r="B78" s="50" t="s">
        <v>11</v>
      </c>
      <c r="C78" s="51">
        <v>0</v>
      </c>
      <c r="D78" s="55"/>
      <c r="E78" s="56">
        <v>0</v>
      </c>
      <c r="F78" s="54">
        <f t="shared" si="7"/>
        <v>0</v>
      </c>
      <c r="G78" s="99" t="s">
        <v>11</v>
      </c>
    </row>
    <row r="79" spans="2:16" x14ac:dyDescent="0.2">
      <c r="B79" s="50" t="s">
        <v>11</v>
      </c>
      <c r="C79" s="51">
        <v>0</v>
      </c>
      <c r="D79" s="55"/>
      <c r="E79" s="56">
        <v>0</v>
      </c>
      <c r="F79" s="54">
        <f t="shared" si="7"/>
        <v>0</v>
      </c>
      <c r="G79" s="99" t="s">
        <v>11</v>
      </c>
    </row>
    <row r="80" spans="2:16" x14ac:dyDescent="0.2">
      <c r="B80" s="50" t="s">
        <v>11</v>
      </c>
      <c r="C80" s="51">
        <v>0</v>
      </c>
      <c r="D80" s="55"/>
      <c r="E80" s="56">
        <v>0</v>
      </c>
      <c r="F80" s="54">
        <f t="shared" si="7"/>
        <v>0</v>
      </c>
      <c r="G80" s="99" t="s">
        <v>11</v>
      </c>
    </row>
    <row r="81" spans="2:7" x14ac:dyDescent="0.2">
      <c r="B81" s="50" t="s">
        <v>11</v>
      </c>
      <c r="C81" s="51">
        <v>0</v>
      </c>
      <c r="D81" s="55"/>
      <c r="E81" s="56">
        <v>0</v>
      </c>
      <c r="F81" s="54">
        <f t="shared" si="7"/>
        <v>0</v>
      </c>
      <c r="G81" s="99" t="s">
        <v>11</v>
      </c>
    </row>
    <row r="82" spans="2:7" x14ac:dyDescent="0.2">
      <c r="B82" s="50" t="s">
        <v>11</v>
      </c>
      <c r="C82" s="51">
        <v>0</v>
      </c>
      <c r="D82" s="55"/>
      <c r="E82" s="56">
        <v>0</v>
      </c>
      <c r="F82" s="54">
        <f t="shared" si="7"/>
        <v>0</v>
      </c>
      <c r="G82" s="99" t="s">
        <v>11</v>
      </c>
    </row>
    <row r="83" spans="2:7" x14ac:dyDescent="0.2">
      <c r="B83" s="50" t="s">
        <v>11</v>
      </c>
      <c r="C83" s="51">
        <v>0</v>
      </c>
      <c r="D83" s="55"/>
      <c r="E83" s="56">
        <v>0</v>
      </c>
      <c r="F83" s="54">
        <f t="shared" si="7"/>
        <v>0</v>
      </c>
      <c r="G83" s="99" t="s">
        <v>11</v>
      </c>
    </row>
    <row r="84" spans="2:7" x14ac:dyDescent="0.2">
      <c r="B84" s="72"/>
      <c r="C84" s="63"/>
      <c r="D84" s="90" t="s">
        <v>3</v>
      </c>
      <c r="E84" s="68"/>
      <c r="F84" s="93">
        <f>SUM(F74:F83)</f>
        <v>21300</v>
      </c>
      <c r="G84" s="98"/>
    </row>
    <row r="85" spans="2:7" x14ac:dyDescent="0.2">
      <c r="B85" s="72"/>
      <c r="D85" s="91" t="str">
        <f>Assumptions!B34</f>
        <v>Overhead and Profit</v>
      </c>
      <c r="E85" s="95">
        <f>Assumptions!C34</f>
        <v>0.22</v>
      </c>
      <c r="F85" s="67">
        <f>+MROUND(F84*E85,100)</f>
        <v>4700</v>
      </c>
      <c r="G85" s="77"/>
    </row>
    <row r="86" spans="2:7" x14ac:dyDescent="0.2">
      <c r="B86" s="72"/>
      <c r="D86" s="91" t="s">
        <v>3</v>
      </c>
      <c r="E86" s="66"/>
      <c r="F86" s="92">
        <f>F85+F84</f>
        <v>26000</v>
      </c>
      <c r="G86" s="77"/>
    </row>
    <row r="87" spans="2:7" x14ac:dyDescent="0.2">
      <c r="B87" s="72"/>
      <c r="D87" s="91" t="str">
        <f>Assumptions!B35</f>
        <v>Contingency</v>
      </c>
      <c r="E87" s="96">
        <f>Assumptions!C35</f>
        <v>0.3</v>
      </c>
      <c r="F87" s="64">
        <f>+MROUND((F86)*E87,100)</f>
        <v>7800</v>
      </c>
      <c r="G87" s="77"/>
    </row>
    <row r="88" spans="2:7" x14ac:dyDescent="0.2">
      <c r="B88" s="72"/>
      <c r="D88" s="91" t="s">
        <v>36</v>
      </c>
      <c r="E88" s="66"/>
      <c r="F88" s="93">
        <f>SUM(F86:F87)</f>
        <v>33800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1000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3400</v>
      </c>
      <c r="G92" s="77"/>
    </row>
    <row r="93" spans="2:7" x14ac:dyDescent="0.2">
      <c r="B93" s="72"/>
      <c r="D93" s="91" t="str">
        <f>Assumptions!B40</f>
        <v>Engineering - Construction</v>
      </c>
      <c r="E93" s="96">
        <f>Assumptions!C40</f>
        <v>0.15</v>
      </c>
      <c r="F93" s="64">
        <f>+MROUND($F$88*E93,100)</f>
        <v>5100</v>
      </c>
      <c r="G93" s="77"/>
    </row>
    <row r="94" spans="2:7" x14ac:dyDescent="0.2">
      <c r="B94" s="32"/>
      <c r="C94" s="63"/>
      <c r="D94" s="94" t="s">
        <v>58</v>
      </c>
      <c r="E94" s="68"/>
      <c r="F94" s="124">
        <f>SUM(F88:F93)</f>
        <v>43300</v>
      </c>
      <c r="G94" s="98" t="str">
        <f>G34</f>
        <v>Engineering News Record (ENR) = 10182 (Feb. 2016)</v>
      </c>
    </row>
    <row r="95" spans="2:7" ht="1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 xml:space="preserve">Collection System - Downtown Area </v>
      </c>
      <c r="C101" s="83"/>
      <c r="D101" s="83"/>
      <c r="E101" s="83"/>
      <c r="F101" s="83"/>
      <c r="G101" s="84"/>
    </row>
    <row r="102" spans="2:7" ht="15" thickBot="1" x14ac:dyDescent="0.25"/>
    <row r="103" spans="2:7" ht="1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33</v>
      </c>
      <c r="C105" s="51">
        <f>C12</f>
        <v>4</v>
      </c>
      <c r="D105" s="55" t="s">
        <v>56</v>
      </c>
      <c r="E105" s="56">
        <v>2500</v>
      </c>
      <c r="F105" s="54">
        <f>+MROUND(C105*E105,100)</f>
        <v>10000</v>
      </c>
      <c r="G105" s="99" t="s">
        <v>172</v>
      </c>
    </row>
    <row r="106" spans="2:7" x14ac:dyDescent="0.2">
      <c r="B106" s="50" t="s">
        <v>11</v>
      </c>
      <c r="C106" s="51">
        <v>0</v>
      </c>
      <c r="D106" s="55"/>
      <c r="E106" s="56">
        <v>0</v>
      </c>
      <c r="F106" s="54">
        <f t="shared" ref="F106:F114" si="8">+MROUND(C106*E106,100)</f>
        <v>0</v>
      </c>
      <c r="G106" s="99" t="s">
        <v>11</v>
      </c>
    </row>
    <row r="107" spans="2:7" x14ac:dyDescent="0.2">
      <c r="B107" s="50" t="s">
        <v>11</v>
      </c>
      <c r="C107" s="51">
        <v>0</v>
      </c>
      <c r="D107" s="55"/>
      <c r="E107" s="56">
        <v>0</v>
      </c>
      <c r="F107" s="54">
        <f t="shared" si="8"/>
        <v>0</v>
      </c>
      <c r="G107" s="99" t="s">
        <v>11</v>
      </c>
    </row>
    <row r="108" spans="2:7" x14ac:dyDescent="0.2">
      <c r="B108" s="50" t="s">
        <v>11</v>
      </c>
      <c r="C108" s="51">
        <v>0</v>
      </c>
      <c r="D108" s="55"/>
      <c r="E108" s="56">
        <v>0</v>
      </c>
      <c r="F108" s="54">
        <f t="shared" si="8"/>
        <v>0</v>
      </c>
      <c r="G108" s="99" t="s">
        <v>11</v>
      </c>
    </row>
    <row r="109" spans="2:7" x14ac:dyDescent="0.2">
      <c r="B109" s="50" t="s">
        <v>11</v>
      </c>
      <c r="C109" s="51">
        <v>0</v>
      </c>
      <c r="D109" s="55"/>
      <c r="E109" s="56">
        <v>0</v>
      </c>
      <c r="F109" s="54">
        <f t="shared" si="8"/>
        <v>0</v>
      </c>
      <c r="G109" s="99" t="s">
        <v>11</v>
      </c>
    </row>
    <row r="110" spans="2:7" x14ac:dyDescent="0.2">
      <c r="B110" s="50" t="s">
        <v>11</v>
      </c>
      <c r="C110" s="51">
        <v>0</v>
      </c>
      <c r="D110" s="55"/>
      <c r="E110" s="56">
        <v>0</v>
      </c>
      <c r="F110" s="54">
        <f t="shared" si="8"/>
        <v>0</v>
      </c>
      <c r="G110" s="99" t="s">
        <v>11</v>
      </c>
    </row>
    <row r="111" spans="2:7" x14ac:dyDescent="0.2">
      <c r="B111" s="50" t="s">
        <v>11</v>
      </c>
      <c r="C111" s="51">
        <v>0</v>
      </c>
      <c r="D111" s="55"/>
      <c r="E111" s="56">
        <v>0</v>
      </c>
      <c r="F111" s="54">
        <f t="shared" si="8"/>
        <v>0</v>
      </c>
      <c r="G111" s="99" t="s">
        <v>11</v>
      </c>
    </row>
    <row r="112" spans="2:7" x14ac:dyDescent="0.2">
      <c r="B112" s="50" t="s">
        <v>11</v>
      </c>
      <c r="C112" s="51">
        <v>0</v>
      </c>
      <c r="D112" s="55"/>
      <c r="E112" s="56">
        <v>0</v>
      </c>
      <c r="F112" s="54">
        <f t="shared" si="8"/>
        <v>0</v>
      </c>
      <c r="G112" s="99" t="s">
        <v>11</v>
      </c>
    </row>
    <row r="113" spans="2:7" x14ac:dyDescent="0.2">
      <c r="B113" s="50" t="s">
        <v>11</v>
      </c>
      <c r="C113" s="51">
        <v>0</v>
      </c>
      <c r="D113" s="55"/>
      <c r="E113" s="56">
        <v>0</v>
      </c>
      <c r="F113" s="54">
        <f t="shared" si="8"/>
        <v>0</v>
      </c>
      <c r="G113" s="99" t="s">
        <v>11</v>
      </c>
    </row>
    <row r="114" spans="2:7" x14ac:dyDescent="0.2">
      <c r="B114" s="50" t="s">
        <v>11</v>
      </c>
      <c r="C114" s="51">
        <v>0</v>
      </c>
      <c r="D114" s="55"/>
      <c r="E114" s="56">
        <v>0</v>
      </c>
      <c r="F114" s="54">
        <f t="shared" si="8"/>
        <v>0</v>
      </c>
      <c r="G114" s="99" t="s">
        <v>11</v>
      </c>
    </row>
    <row r="115" spans="2:7" x14ac:dyDescent="0.2">
      <c r="B115" s="72"/>
      <c r="C115" s="63"/>
      <c r="D115" s="90" t="s">
        <v>3</v>
      </c>
      <c r="E115" s="68"/>
      <c r="F115" s="93">
        <f>SUM(F105:F114)</f>
        <v>10000</v>
      </c>
      <c r="G115" s="98"/>
    </row>
    <row r="116" spans="2:7" x14ac:dyDescent="0.2">
      <c r="B116" s="72"/>
      <c r="D116" s="91" t="str">
        <f>Assumptions!B45</f>
        <v>Contingency</v>
      </c>
      <c r="E116" s="95">
        <f>Assumptions!C45</f>
        <v>0.1</v>
      </c>
      <c r="F116" s="64">
        <f>+MROUND((F115)*E116,100)</f>
        <v>1000</v>
      </c>
      <c r="G116" s="77"/>
    </row>
    <row r="117" spans="2:7" x14ac:dyDescent="0.2">
      <c r="B117" s="72"/>
      <c r="D117" s="91" t="s">
        <v>3</v>
      </c>
      <c r="E117" s="66"/>
      <c r="F117" s="93">
        <f>SUM(F115:F116)</f>
        <v>11000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600</v>
      </c>
      <c r="G119" s="77"/>
    </row>
    <row r="120" spans="2:7" x14ac:dyDescent="0.2">
      <c r="B120" s="72"/>
      <c r="D120" s="91" t="str">
        <f>Assumptions!B48</f>
        <v>Engineering - Planning/Consultation</v>
      </c>
      <c r="E120" s="96">
        <f>Assumptions!C48</f>
        <v>0.03</v>
      </c>
      <c r="F120" s="64">
        <f>+MROUND($F$117*E120,100)</f>
        <v>300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11900</v>
      </c>
      <c r="G123" s="98" t="str">
        <f>G63</f>
        <v>Engineering News Record (ENR) = 10182 (Feb. 2016)</v>
      </c>
    </row>
    <row r="124" spans="2:7" ht="1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row r="141" spans="4:4" x14ac:dyDescent="0.2">
      <c r="D141" s="97"/>
    </row>
    <row r="142" spans="4:4" x14ac:dyDescent="0.2">
      <c r="D142" s="97"/>
    </row>
    <row r="143" spans="4:4" x14ac:dyDescent="0.2">
      <c r="D143" s="97"/>
    </row>
    <row r="144" spans="4:4" x14ac:dyDescent="0.2">
      <c r="D144" s="97"/>
    </row>
    <row r="145" spans="4:4" x14ac:dyDescent="0.2">
      <c r="D145" s="97"/>
    </row>
    <row r="146" spans="4:4" x14ac:dyDescent="0.2">
      <c r="D146" s="97"/>
    </row>
    <row r="147" spans="4:4" x14ac:dyDescent="0.2">
      <c r="D147" s="97"/>
    </row>
    <row r="148" spans="4:4" x14ac:dyDescent="0.2">
      <c r="D148" s="97"/>
    </row>
  </sheetData>
  <sheetProtection password="E40A" sheet="1" objects="1" scenarios="1"/>
  <sortState ref="N9:P23">
    <sortCondition ref="N9"/>
  </sortState>
  <mergeCells count="2">
    <mergeCell ref="N1:P1"/>
    <mergeCell ref="N6:P6"/>
  </mergeCells>
  <dataValidations count="1">
    <dataValidation type="list" allowBlank="1" showInputMessage="1" showErrorMessage="1" sqref="B10:B23">
      <formula1>$N$8:$N$23</formula1>
    </dataValidation>
  </dataValidations>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D105:D114 D75:D83 D45:D54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N100"/>
  <sheetViews>
    <sheetView zoomScale="70" zoomScaleNormal="70" workbookViewId="0">
      <pane xSplit="4" ySplit="8" topLeftCell="E9" activePane="bottomRight" state="frozen"/>
      <selection activeCell="B87" sqref="B87"/>
      <selection pane="topRight" activeCell="B87" sqref="B87"/>
      <selection pane="bottomLeft" activeCell="B87" sqref="B87"/>
      <selection pane="bottomRight"/>
    </sheetView>
  </sheetViews>
  <sheetFormatPr defaultRowHeight="12.75" x14ac:dyDescent="0.2"/>
  <cols>
    <col min="1" max="1" width="2.7109375" style="443" customWidth="1"/>
    <col min="2" max="2" width="40.7109375" style="443" customWidth="1"/>
    <col min="3" max="3" width="16.7109375" style="443" customWidth="1"/>
    <col min="4" max="4" width="16.7109375" style="208" customWidth="1"/>
    <col min="5" max="5" width="1.7109375" style="208" customWidth="1"/>
    <col min="6" max="6" width="10.7109375" style="208" customWidth="1"/>
    <col min="7" max="7" width="15.7109375" style="208" customWidth="1"/>
    <col min="8" max="8" width="1.7109375" style="208" customWidth="1"/>
    <col min="9" max="9" width="10.7109375" style="208" customWidth="1"/>
    <col min="10" max="10" width="15.7109375" style="208" customWidth="1"/>
    <col min="11" max="11" width="1.7109375" style="208" customWidth="1"/>
    <col min="12" max="12" width="10.7109375" style="208" customWidth="1"/>
    <col min="13" max="13" width="15.7109375" style="208" customWidth="1"/>
    <col min="14" max="14" width="1.7109375" style="208" customWidth="1"/>
    <col min="15" max="15" width="10.7109375" style="208" customWidth="1"/>
    <col min="16" max="16" width="15.7109375" style="208" customWidth="1"/>
    <col min="17" max="17" width="1.7109375" style="208" customWidth="1"/>
    <col min="18" max="18" width="10.7109375" style="208" customWidth="1"/>
    <col min="19" max="19" width="15.7109375" style="208" customWidth="1"/>
    <col min="20" max="20" width="4.7109375" style="208" customWidth="1"/>
    <col min="21" max="21" width="10.7109375" style="208" customWidth="1"/>
    <col min="22" max="22" width="15.7109375" style="208" customWidth="1"/>
    <col min="23" max="23" width="2.7109375" style="443" customWidth="1"/>
    <col min="24" max="24" width="10.7109375" style="208" customWidth="1"/>
    <col min="25" max="25" width="15.7109375" style="208" customWidth="1"/>
    <col min="26" max="26" width="2.7109375" style="443" customWidth="1"/>
    <col min="27" max="27" width="10.7109375" style="208" customWidth="1"/>
    <col min="28" max="28" width="15.7109375" style="208" customWidth="1"/>
    <col min="29" max="29" width="2.7109375" style="443" customWidth="1"/>
    <col min="30" max="30" width="10.7109375" style="208" customWidth="1"/>
    <col min="31" max="31" width="15.7109375" style="208" customWidth="1"/>
    <col min="32" max="32" width="2.7109375" style="443" customWidth="1"/>
    <col min="33" max="33" width="10.7109375" style="208" customWidth="1"/>
    <col min="34" max="34" width="15.7109375" style="208" customWidth="1"/>
    <col min="35" max="35" width="2.7109375" style="443" customWidth="1"/>
    <col min="36" max="249" width="9.140625" style="443"/>
    <col min="250" max="250" width="2.7109375" style="443" customWidth="1"/>
    <col min="251" max="251" width="40.7109375" style="443" customWidth="1"/>
    <col min="252" max="253" width="16.7109375" style="443" customWidth="1"/>
    <col min="254" max="254" width="2.7109375" style="443" customWidth="1"/>
    <col min="255" max="255" width="12.7109375" style="443" customWidth="1"/>
    <col min="256" max="256" width="23.28515625" style="443" customWidth="1"/>
    <col min="257" max="257" width="19.28515625" style="443" bestFit="1" customWidth="1"/>
    <col min="258" max="505" width="9.140625" style="443"/>
    <col min="506" max="506" width="2.7109375" style="443" customWidth="1"/>
    <col min="507" max="507" width="40.7109375" style="443" customWidth="1"/>
    <col min="508" max="509" width="16.7109375" style="443" customWidth="1"/>
    <col min="510" max="510" width="2.7109375" style="443" customWidth="1"/>
    <col min="511" max="511" width="12.7109375" style="443" customWidth="1"/>
    <col min="512" max="512" width="23.28515625" style="443" customWidth="1"/>
    <col min="513" max="513" width="19.28515625" style="443" bestFit="1" customWidth="1"/>
    <col min="514" max="761" width="9.140625" style="443"/>
    <col min="762" max="762" width="2.7109375" style="443" customWidth="1"/>
    <col min="763" max="763" width="40.7109375" style="443" customWidth="1"/>
    <col min="764" max="765" width="16.7109375" style="443" customWidth="1"/>
    <col min="766" max="766" width="2.7109375" style="443" customWidth="1"/>
    <col min="767" max="767" width="12.7109375" style="443" customWidth="1"/>
    <col min="768" max="768" width="23.28515625" style="443" customWidth="1"/>
    <col min="769" max="769" width="19.28515625" style="443" bestFit="1" customWidth="1"/>
    <col min="770" max="1017" width="9.140625" style="443"/>
    <col min="1018" max="1018" width="2.7109375" style="443" customWidth="1"/>
    <col min="1019" max="1019" width="40.7109375" style="443" customWidth="1"/>
    <col min="1020" max="1021" width="16.7109375" style="443" customWidth="1"/>
    <col min="1022" max="1022" width="2.7109375" style="443" customWidth="1"/>
    <col min="1023" max="1023" width="12.7109375" style="443" customWidth="1"/>
    <col min="1024" max="1024" width="23.28515625" style="443" customWidth="1"/>
    <col min="1025" max="1025" width="19.28515625" style="443" bestFit="1" customWidth="1"/>
    <col min="1026" max="1273" width="9.140625" style="443"/>
    <col min="1274" max="1274" width="2.7109375" style="443" customWidth="1"/>
    <col min="1275" max="1275" width="40.7109375" style="443" customWidth="1"/>
    <col min="1276" max="1277" width="16.7109375" style="443" customWidth="1"/>
    <col min="1278" max="1278" width="2.7109375" style="443" customWidth="1"/>
    <col min="1279" max="1279" width="12.7109375" style="443" customWidth="1"/>
    <col min="1280" max="1280" width="23.28515625" style="443" customWidth="1"/>
    <col min="1281" max="1281" width="19.28515625" style="443" bestFit="1" customWidth="1"/>
    <col min="1282" max="1529" width="9.140625" style="443"/>
    <col min="1530" max="1530" width="2.7109375" style="443" customWidth="1"/>
    <col min="1531" max="1531" width="40.7109375" style="443" customWidth="1"/>
    <col min="1532" max="1533" width="16.7109375" style="443" customWidth="1"/>
    <col min="1534" max="1534" width="2.7109375" style="443" customWidth="1"/>
    <col min="1535" max="1535" width="12.7109375" style="443" customWidth="1"/>
    <col min="1536" max="1536" width="23.28515625" style="443" customWidth="1"/>
    <col min="1537" max="1537" width="19.28515625" style="443" bestFit="1" customWidth="1"/>
    <col min="1538" max="1785" width="9.140625" style="443"/>
    <col min="1786" max="1786" width="2.7109375" style="443" customWidth="1"/>
    <col min="1787" max="1787" width="40.7109375" style="443" customWidth="1"/>
    <col min="1788" max="1789" width="16.7109375" style="443" customWidth="1"/>
    <col min="1790" max="1790" width="2.7109375" style="443" customWidth="1"/>
    <col min="1791" max="1791" width="12.7109375" style="443" customWidth="1"/>
    <col min="1792" max="1792" width="23.28515625" style="443" customWidth="1"/>
    <col min="1793" max="1793" width="19.28515625" style="443" bestFit="1" customWidth="1"/>
    <col min="1794" max="2041" width="9.140625" style="443"/>
    <col min="2042" max="2042" width="2.7109375" style="443" customWidth="1"/>
    <col min="2043" max="2043" width="40.7109375" style="443" customWidth="1"/>
    <col min="2044" max="2045" width="16.7109375" style="443" customWidth="1"/>
    <col min="2046" max="2046" width="2.7109375" style="443" customWidth="1"/>
    <col min="2047" max="2047" width="12.7109375" style="443" customWidth="1"/>
    <col min="2048" max="2048" width="23.28515625" style="443" customWidth="1"/>
    <col min="2049" max="2049" width="19.28515625" style="443" bestFit="1" customWidth="1"/>
    <col min="2050" max="2297" width="9.140625" style="443"/>
    <col min="2298" max="2298" width="2.7109375" style="443" customWidth="1"/>
    <col min="2299" max="2299" width="40.7109375" style="443" customWidth="1"/>
    <col min="2300" max="2301" width="16.7109375" style="443" customWidth="1"/>
    <col min="2302" max="2302" width="2.7109375" style="443" customWidth="1"/>
    <col min="2303" max="2303" width="12.7109375" style="443" customWidth="1"/>
    <col min="2304" max="2304" width="23.28515625" style="443" customWidth="1"/>
    <col min="2305" max="2305" width="19.28515625" style="443" bestFit="1" customWidth="1"/>
    <col min="2306" max="2553" width="9.140625" style="443"/>
    <col min="2554" max="2554" width="2.7109375" style="443" customWidth="1"/>
    <col min="2555" max="2555" width="40.7109375" style="443" customWidth="1"/>
    <col min="2556" max="2557" width="16.7109375" style="443" customWidth="1"/>
    <col min="2558" max="2558" width="2.7109375" style="443" customWidth="1"/>
    <col min="2559" max="2559" width="12.7109375" style="443" customWidth="1"/>
    <col min="2560" max="2560" width="23.28515625" style="443" customWidth="1"/>
    <col min="2561" max="2561" width="19.28515625" style="443" bestFit="1" customWidth="1"/>
    <col min="2562" max="2809" width="9.140625" style="443"/>
    <col min="2810" max="2810" width="2.7109375" style="443" customWidth="1"/>
    <col min="2811" max="2811" width="40.7109375" style="443" customWidth="1"/>
    <col min="2812" max="2813" width="16.7109375" style="443" customWidth="1"/>
    <col min="2814" max="2814" width="2.7109375" style="443" customWidth="1"/>
    <col min="2815" max="2815" width="12.7109375" style="443" customWidth="1"/>
    <col min="2816" max="2816" width="23.28515625" style="443" customWidth="1"/>
    <col min="2817" max="2817" width="19.28515625" style="443" bestFit="1" customWidth="1"/>
    <col min="2818" max="3065" width="9.140625" style="443"/>
    <col min="3066" max="3066" width="2.7109375" style="443" customWidth="1"/>
    <col min="3067" max="3067" width="40.7109375" style="443" customWidth="1"/>
    <col min="3068" max="3069" width="16.7109375" style="443" customWidth="1"/>
    <col min="3070" max="3070" width="2.7109375" style="443" customWidth="1"/>
    <col min="3071" max="3071" width="12.7109375" style="443" customWidth="1"/>
    <col min="3072" max="3072" width="23.28515625" style="443" customWidth="1"/>
    <col min="3073" max="3073" width="19.28515625" style="443" bestFit="1" customWidth="1"/>
    <col min="3074" max="3321" width="9.140625" style="443"/>
    <col min="3322" max="3322" width="2.7109375" style="443" customWidth="1"/>
    <col min="3323" max="3323" width="40.7109375" style="443" customWidth="1"/>
    <col min="3324" max="3325" width="16.7109375" style="443" customWidth="1"/>
    <col min="3326" max="3326" width="2.7109375" style="443" customWidth="1"/>
    <col min="3327" max="3327" width="12.7109375" style="443" customWidth="1"/>
    <col min="3328" max="3328" width="23.28515625" style="443" customWidth="1"/>
    <col min="3329" max="3329" width="19.28515625" style="443" bestFit="1" customWidth="1"/>
    <col min="3330" max="3577" width="9.140625" style="443"/>
    <col min="3578" max="3578" width="2.7109375" style="443" customWidth="1"/>
    <col min="3579" max="3579" width="40.7109375" style="443" customWidth="1"/>
    <col min="3580" max="3581" width="16.7109375" style="443" customWidth="1"/>
    <col min="3582" max="3582" width="2.7109375" style="443" customWidth="1"/>
    <col min="3583" max="3583" width="12.7109375" style="443" customWidth="1"/>
    <col min="3584" max="3584" width="23.28515625" style="443" customWidth="1"/>
    <col min="3585" max="3585" width="19.28515625" style="443" bestFit="1" customWidth="1"/>
    <col min="3586" max="3833" width="9.140625" style="443"/>
    <col min="3834" max="3834" width="2.7109375" style="443" customWidth="1"/>
    <col min="3835" max="3835" width="40.7109375" style="443" customWidth="1"/>
    <col min="3836" max="3837" width="16.7109375" style="443" customWidth="1"/>
    <col min="3838" max="3838" width="2.7109375" style="443" customWidth="1"/>
    <col min="3839" max="3839" width="12.7109375" style="443" customWidth="1"/>
    <col min="3840" max="3840" width="23.28515625" style="443" customWidth="1"/>
    <col min="3841" max="3841" width="19.28515625" style="443" bestFit="1" customWidth="1"/>
    <col min="3842" max="4089" width="9.140625" style="443"/>
    <col min="4090" max="4090" width="2.7109375" style="443" customWidth="1"/>
    <col min="4091" max="4091" width="40.7109375" style="443" customWidth="1"/>
    <col min="4092" max="4093" width="16.7109375" style="443" customWidth="1"/>
    <col min="4094" max="4094" width="2.7109375" style="443" customWidth="1"/>
    <col min="4095" max="4095" width="12.7109375" style="443" customWidth="1"/>
    <col min="4096" max="4096" width="23.28515625" style="443" customWidth="1"/>
    <col min="4097" max="4097" width="19.28515625" style="443" bestFit="1" customWidth="1"/>
    <col min="4098" max="4345" width="9.140625" style="443"/>
    <col min="4346" max="4346" width="2.7109375" style="443" customWidth="1"/>
    <col min="4347" max="4347" width="40.7109375" style="443" customWidth="1"/>
    <col min="4348" max="4349" width="16.7109375" style="443" customWidth="1"/>
    <col min="4350" max="4350" width="2.7109375" style="443" customWidth="1"/>
    <col min="4351" max="4351" width="12.7109375" style="443" customWidth="1"/>
    <col min="4352" max="4352" width="23.28515625" style="443" customWidth="1"/>
    <col min="4353" max="4353" width="19.28515625" style="443" bestFit="1" customWidth="1"/>
    <col min="4354" max="4601" width="9.140625" style="443"/>
    <col min="4602" max="4602" width="2.7109375" style="443" customWidth="1"/>
    <col min="4603" max="4603" width="40.7109375" style="443" customWidth="1"/>
    <col min="4604" max="4605" width="16.7109375" style="443" customWidth="1"/>
    <col min="4606" max="4606" width="2.7109375" style="443" customWidth="1"/>
    <col min="4607" max="4607" width="12.7109375" style="443" customWidth="1"/>
    <col min="4608" max="4608" width="23.28515625" style="443" customWidth="1"/>
    <col min="4609" max="4609" width="19.28515625" style="443" bestFit="1" customWidth="1"/>
    <col min="4610" max="4857" width="9.140625" style="443"/>
    <col min="4858" max="4858" width="2.7109375" style="443" customWidth="1"/>
    <col min="4859" max="4859" width="40.7109375" style="443" customWidth="1"/>
    <col min="4860" max="4861" width="16.7109375" style="443" customWidth="1"/>
    <col min="4862" max="4862" width="2.7109375" style="443" customWidth="1"/>
    <col min="4863" max="4863" width="12.7109375" style="443" customWidth="1"/>
    <col min="4864" max="4864" width="23.28515625" style="443" customWidth="1"/>
    <col min="4865" max="4865" width="19.28515625" style="443" bestFit="1" customWidth="1"/>
    <col min="4866" max="5113" width="9.140625" style="443"/>
    <col min="5114" max="5114" width="2.7109375" style="443" customWidth="1"/>
    <col min="5115" max="5115" width="40.7109375" style="443" customWidth="1"/>
    <col min="5116" max="5117" width="16.7109375" style="443" customWidth="1"/>
    <col min="5118" max="5118" width="2.7109375" style="443" customWidth="1"/>
    <col min="5119" max="5119" width="12.7109375" style="443" customWidth="1"/>
    <col min="5120" max="5120" width="23.28515625" style="443" customWidth="1"/>
    <col min="5121" max="5121" width="19.28515625" style="443" bestFit="1" customWidth="1"/>
    <col min="5122" max="5369" width="9.140625" style="443"/>
    <col min="5370" max="5370" width="2.7109375" style="443" customWidth="1"/>
    <col min="5371" max="5371" width="40.7109375" style="443" customWidth="1"/>
    <col min="5372" max="5373" width="16.7109375" style="443" customWidth="1"/>
    <col min="5374" max="5374" width="2.7109375" style="443" customWidth="1"/>
    <col min="5375" max="5375" width="12.7109375" style="443" customWidth="1"/>
    <col min="5376" max="5376" width="23.28515625" style="443" customWidth="1"/>
    <col min="5377" max="5377" width="19.28515625" style="443" bestFit="1" customWidth="1"/>
    <col min="5378" max="5625" width="9.140625" style="443"/>
    <col min="5626" max="5626" width="2.7109375" style="443" customWidth="1"/>
    <col min="5627" max="5627" width="40.7109375" style="443" customWidth="1"/>
    <col min="5628" max="5629" width="16.7109375" style="443" customWidth="1"/>
    <col min="5630" max="5630" width="2.7109375" style="443" customWidth="1"/>
    <col min="5631" max="5631" width="12.7109375" style="443" customWidth="1"/>
    <col min="5632" max="5632" width="23.28515625" style="443" customWidth="1"/>
    <col min="5633" max="5633" width="19.28515625" style="443" bestFit="1" customWidth="1"/>
    <col min="5634" max="5881" width="9.140625" style="443"/>
    <col min="5882" max="5882" width="2.7109375" style="443" customWidth="1"/>
    <col min="5883" max="5883" width="40.7109375" style="443" customWidth="1"/>
    <col min="5884" max="5885" width="16.7109375" style="443" customWidth="1"/>
    <col min="5886" max="5886" width="2.7109375" style="443" customWidth="1"/>
    <col min="5887" max="5887" width="12.7109375" style="443" customWidth="1"/>
    <col min="5888" max="5888" width="23.28515625" style="443" customWidth="1"/>
    <col min="5889" max="5889" width="19.28515625" style="443" bestFit="1" customWidth="1"/>
    <col min="5890" max="6137" width="9.140625" style="443"/>
    <col min="6138" max="6138" width="2.7109375" style="443" customWidth="1"/>
    <col min="6139" max="6139" width="40.7109375" style="443" customWidth="1"/>
    <col min="6140" max="6141" width="16.7109375" style="443" customWidth="1"/>
    <col min="6142" max="6142" width="2.7109375" style="443" customWidth="1"/>
    <col min="6143" max="6143" width="12.7109375" style="443" customWidth="1"/>
    <col min="6144" max="6144" width="23.28515625" style="443" customWidth="1"/>
    <col min="6145" max="6145" width="19.28515625" style="443" bestFit="1" customWidth="1"/>
    <col min="6146" max="6393" width="9.140625" style="443"/>
    <col min="6394" max="6394" width="2.7109375" style="443" customWidth="1"/>
    <col min="6395" max="6395" width="40.7109375" style="443" customWidth="1"/>
    <col min="6396" max="6397" width="16.7109375" style="443" customWidth="1"/>
    <col min="6398" max="6398" width="2.7109375" style="443" customWidth="1"/>
    <col min="6399" max="6399" width="12.7109375" style="443" customWidth="1"/>
    <col min="6400" max="6400" width="23.28515625" style="443" customWidth="1"/>
    <col min="6401" max="6401" width="19.28515625" style="443" bestFit="1" customWidth="1"/>
    <col min="6402" max="6649" width="9.140625" style="443"/>
    <col min="6650" max="6650" width="2.7109375" style="443" customWidth="1"/>
    <col min="6651" max="6651" width="40.7109375" style="443" customWidth="1"/>
    <col min="6652" max="6653" width="16.7109375" style="443" customWidth="1"/>
    <col min="6654" max="6654" width="2.7109375" style="443" customWidth="1"/>
    <col min="6655" max="6655" width="12.7109375" style="443" customWidth="1"/>
    <col min="6656" max="6656" width="23.28515625" style="443" customWidth="1"/>
    <col min="6657" max="6657" width="19.28515625" style="443" bestFit="1" customWidth="1"/>
    <col min="6658" max="6905" width="9.140625" style="443"/>
    <col min="6906" max="6906" width="2.7109375" style="443" customWidth="1"/>
    <col min="6907" max="6907" width="40.7109375" style="443" customWidth="1"/>
    <col min="6908" max="6909" width="16.7109375" style="443" customWidth="1"/>
    <col min="6910" max="6910" width="2.7109375" style="443" customWidth="1"/>
    <col min="6911" max="6911" width="12.7109375" style="443" customWidth="1"/>
    <col min="6912" max="6912" width="23.28515625" style="443" customWidth="1"/>
    <col min="6913" max="6913" width="19.28515625" style="443" bestFit="1" customWidth="1"/>
    <col min="6914" max="7161" width="9.140625" style="443"/>
    <col min="7162" max="7162" width="2.7109375" style="443" customWidth="1"/>
    <col min="7163" max="7163" width="40.7109375" style="443" customWidth="1"/>
    <col min="7164" max="7165" width="16.7109375" style="443" customWidth="1"/>
    <col min="7166" max="7166" width="2.7109375" style="443" customWidth="1"/>
    <col min="7167" max="7167" width="12.7109375" style="443" customWidth="1"/>
    <col min="7168" max="7168" width="23.28515625" style="443" customWidth="1"/>
    <col min="7169" max="7169" width="19.28515625" style="443" bestFit="1" customWidth="1"/>
    <col min="7170" max="7417" width="9.140625" style="443"/>
    <col min="7418" max="7418" width="2.7109375" style="443" customWidth="1"/>
    <col min="7419" max="7419" width="40.7109375" style="443" customWidth="1"/>
    <col min="7420" max="7421" width="16.7109375" style="443" customWidth="1"/>
    <col min="7422" max="7422" width="2.7109375" style="443" customWidth="1"/>
    <col min="7423" max="7423" width="12.7109375" style="443" customWidth="1"/>
    <col min="7424" max="7424" width="23.28515625" style="443" customWidth="1"/>
    <col min="7425" max="7425" width="19.28515625" style="443" bestFit="1" customWidth="1"/>
    <col min="7426" max="7673" width="9.140625" style="443"/>
    <col min="7674" max="7674" width="2.7109375" style="443" customWidth="1"/>
    <col min="7675" max="7675" width="40.7109375" style="443" customWidth="1"/>
    <col min="7676" max="7677" width="16.7109375" style="443" customWidth="1"/>
    <col min="7678" max="7678" width="2.7109375" style="443" customWidth="1"/>
    <col min="7679" max="7679" width="12.7109375" style="443" customWidth="1"/>
    <col min="7680" max="7680" width="23.28515625" style="443" customWidth="1"/>
    <col min="7681" max="7681" width="19.28515625" style="443" bestFit="1" customWidth="1"/>
    <col min="7682" max="7929" width="9.140625" style="443"/>
    <col min="7930" max="7930" width="2.7109375" style="443" customWidth="1"/>
    <col min="7931" max="7931" width="40.7109375" style="443" customWidth="1"/>
    <col min="7932" max="7933" width="16.7109375" style="443" customWidth="1"/>
    <col min="7934" max="7934" width="2.7109375" style="443" customWidth="1"/>
    <col min="7935" max="7935" width="12.7109375" style="443" customWidth="1"/>
    <col min="7936" max="7936" width="23.28515625" style="443" customWidth="1"/>
    <col min="7937" max="7937" width="19.28515625" style="443" bestFit="1" customWidth="1"/>
    <col min="7938" max="8185" width="9.140625" style="443"/>
    <col min="8186" max="8186" width="2.7109375" style="443" customWidth="1"/>
    <col min="8187" max="8187" width="40.7109375" style="443" customWidth="1"/>
    <col min="8188" max="8189" width="16.7109375" style="443" customWidth="1"/>
    <col min="8190" max="8190" width="2.7109375" style="443" customWidth="1"/>
    <col min="8191" max="8191" width="12.7109375" style="443" customWidth="1"/>
    <col min="8192" max="8192" width="23.28515625" style="443" customWidth="1"/>
    <col min="8193" max="8193" width="19.28515625" style="443" bestFit="1" customWidth="1"/>
    <col min="8194" max="8441" width="9.140625" style="443"/>
    <col min="8442" max="8442" width="2.7109375" style="443" customWidth="1"/>
    <col min="8443" max="8443" width="40.7109375" style="443" customWidth="1"/>
    <col min="8444" max="8445" width="16.7109375" style="443" customWidth="1"/>
    <col min="8446" max="8446" width="2.7109375" style="443" customWidth="1"/>
    <col min="8447" max="8447" width="12.7109375" style="443" customWidth="1"/>
    <col min="8448" max="8448" width="23.28515625" style="443" customWidth="1"/>
    <col min="8449" max="8449" width="19.28515625" style="443" bestFit="1" customWidth="1"/>
    <col min="8450" max="8697" width="9.140625" style="443"/>
    <col min="8698" max="8698" width="2.7109375" style="443" customWidth="1"/>
    <col min="8699" max="8699" width="40.7109375" style="443" customWidth="1"/>
    <col min="8700" max="8701" width="16.7109375" style="443" customWidth="1"/>
    <col min="8702" max="8702" width="2.7109375" style="443" customWidth="1"/>
    <col min="8703" max="8703" width="12.7109375" style="443" customWidth="1"/>
    <col min="8704" max="8704" width="23.28515625" style="443" customWidth="1"/>
    <col min="8705" max="8705" width="19.28515625" style="443" bestFit="1" customWidth="1"/>
    <col min="8706" max="8953" width="9.140625" style="443"/>
    <col min="8954" max="8954" width="2.7109375" style="443" customWidth="1"/>
    <col min="8955" max="8955" width="40.7109375" style="443" customWidth="1"/>
    <col min="8956" max="8957" width="16.7109375" style="443" customWidth="1"/>
    <col min="8958" max="8958" width="2.7109375" style="443" customWidth="1"/>
    <col min="8959" max="8959" width="12.7109375" style="443" customWidth="1"/>
    <col min="8960" max="8960" width="23.28515625" style="443" customWidth="1"/>
    <col min="8961" max="8961" width="19.28515625" style="443" bestFit="1" customWidth="1"/>
    <col min="8962" max="9209" width="9.140625" style="443"/>
    <col min="9210" max="9210" width="2.7109375" style="443" customWidth="1"/>
    <col min="9211" max="9211" width="40.7109375" style="443" customWidth="1"/>
    <col min="9212" max="9213" width="16.7109375" style="443" customWidth="1"/>
    <col min="9214" max="9214" width="2.7109375" style="443" customWidth="1"/>
    <col min="9215" max="9215" width="12.7109375" style="443" customWidth="1"/>
    <col min="9216" max="9216" width="23.28515625" style="443" customWidth="1"/>
    <col min="9217" max="9217" width="19.28515625" style="443" bestFit="1" customWidth="1"/>
    <col min="9218" max="9465" width="9.140625" style="443"/>
    <col min="9466" max="9466" width="2.7109375" style="443" customWidth="1"/>
    <col min="9467" max="9467" width="40.7109375" style="443" customWidth="1"/>
    <col min="9468" max="9469" width="16.7109375" style="443" customWidth="1"/>
    <col min="9470" max="9470" width="2.7109375" style="443" customWidth="1"/>
    <col min="9471" max="9471" width="12.7109375" style="443" customWidth="1"/>
    <col min="9472" max="9472" width="23.28515625" style="443" customWidth="1"/>
    <col min="9473" max="9473" width="19.28515625" style="443" bestFit="1" customWidth="1"/>
    <col min="9474" max="9721" width="9.140625" style="443"/>
    <col min="9722" max="9722" width="2.7109375" style="443" customWidth="1"/>
    <col min="9723" max="9723" width="40.7109375" style="443" customWidth="1"/>
    <col min="9724" max="9725" width="16.7109375" style="443" customWidth="1"/>
    <col min="9726" max="9726" width="2.7109375" style="443" customWidth="1"/>
    <col min="9727" max="9727" width="12.7109375" style="443" customWidth="1"/>
    <col min="9728" max="9728" width="23.28515625" style="443" customWidth="1"/>
    <col min="9729" max="9729" width="19.28515625" style="443" bestFit="1" customWidth="1"/>
    <col min="9730" max="9977" width="9.140625" style="443"/>
    <col min="9978" max="9978" width="2.7109375" style="443" customWidth="1"/>
    <col min="9979" max="9979" width="40.7109375" style="443" customWidth="1"/>
    <col min="9980" max="9981" width="16.7109375" style="443" customWidth="1"/>
    <col min="9982" max="9982" width="2.7109375" style="443" customWidth="1"/>
    <col min="9983" max="9983" width="12.7109375" style="443" customWidth="1"/>
    <col min="9984" max="9984" width="23.28515625" style="443" customWidth="1"/>
    <col min="9985" max="9985" width="19.28515625" style="443" bestFit="1" customWidth="1"/>
    <col min="9986" max="10233" width="9.140625" style="443"/>
    <col min="10234" max="10234" width="2.7109375" style="443" customWidth="1"/>
    <col min="10235" max="10235" width="40.7109375" style="443" customWidth="1"/>
    <col min="10236" max="10237" width="16.7109375" style="443" customWidth="1"/>
    <col min="10238" max="10238" width="2.7109375" style="443" customWidth="1"/>
    <col min="10239" max="10239" width="12.7109375" style="443" customWidth="1"/>
    <col min="10240" max="10240" width="23.28515625" style="443" customWidth="1"/>
    <col min="10241" max="10241" width="19.28515625" style="443" bestFit="1" customWidth="1"/>
    <col min="10242" max="10489" width="9.140625" style="443"/>
    <col min="10490" max="10490" width="2.7109375" style="443" customWidth="1"/>
    <col min="10491" max="10491" width="40.7109375" style="443" customWidth="1"/>
    <col min="10492" max="10493" width="16.7109375" style="443" customWidth="1"/>
    <col min="10494" max="10494" width="2.7109375" style="443" customWidth="1"/>
    <col min="10495" max="10495" width="12.7109375" style="443" customWidth="1"/>
    <col min="10496" max="10496" width="23.28515625" style="443" customWidth="1"/>
    <col min="10497" max="10497" width="19.28515625" style="443" bestFit="1" customWidth="1"/>
    <col min="10498" max="10745" width="9.140625" style="443"/>
    <col min="10746" max="10746" width="2.7109375" style="443" customWidth="1"/>
    <col min="10747" max="10747" width="40.7109375" style="443" customWidth="1"/>
    <col min="10748" max="10749" width="16.7109375" style="443" customWidth="1"/>
    <col min="10750" max="10750" width="2.7109375" style="443" customWidth="1"/>
    <col min="10751" max="10751" width="12.7109375" style="443" customWidth="1"/>
    <col min="10752" max="10752" width="23.28515625" style="443" customWidth="1"/>
    <col min="10753" max="10753" width="19.28515625" style="443" bestFit="1" customWidth="1"/>
    <col min="10754" max="11001" width="9.140625" style="443"/>
    <col min="11002" max="11002" width="2.7109375" style="443" customWidth="1"/>
    <col min="11003" max="11003" width="40.7109375" style="443" customWidth="1"/>
    <col min="11004" max="11005" width="16.7109375" style="443" customWidth="1"/>
    <col min="11006" max="11006" width="2.7109375" style="443" customWidth="1"/>
    <col min="11007" max="11007" width="12.7109375" style="443" customWidth="1"/>
    <col min="11008" max="11008" width="23.28515625" style="443" customWidth="1"/>
    <col min="11009" max="11009" width="19.28515625" style="443" bestFit="1" customWidth="1"/>
    <col min="11010" max="11257" width="9.140625" style="443"/>
    <col min="11258" max="11258" width="2.7109375" style="443" customWidth="1"/>
    <col min="11259" max="11259" width="40.7109375" style="443" customWidth="1"/>
    <col min="11260" max="11261" width="16.7109375" style="443" customWidth="1"/>
    <col min="11262" max="11262" width="2.7109375" style="443" customWidth="1"/>
    <col min="11263" max="11263" width="12.7109375" style="443" customWidth="1"/>
    <col min="11264" max="11264" width="23.28515625" style="443" customWidth="1"/>
    <col min="11265" max="11265" width="19.28515625" style="443" bestFit="1" customWidth="1"/>
    <col min="11266" max="11513" width="9.140625" style="443"/>
    <col min="11514" max="11514" width="2.7109375" style="443" customWidth="1"/>
    <col min="11515" max="11515" width="40.7109375" style="443" customWidth="1"/>
    <col min="11516" max="11517" width="16.7109375" style="443" customWidth="1"/>
    <col min="11518" max="11518" width="2.7109375" style="443" customWidth="1"/>
    <col min="11519" max="11519" width="12.7109375" style="443" customWidth="1"/>
    <col min="11520" max="11520" width="23.28515625" style="443" customWidth="1"/>
    <col min="11521" max="11521" width="19.28515625" style="443" bestFit="1" customWidth="1"/>
    <col min="11522" max="11769" width="9.140625" style="443"/>
    <col min="11770" max="11770" width="2.7109375" style="443" customWidth="1"/>
    <col min="11771" max="11771" width="40.7109375" style="443" customWidth="1"/>
    <col min="11772" max="11773" width="16.7109375" style="443" customWidth="1"/>
    <col min="11774" max="11774" width="2.7109375" style="443" customWidth="1"/>
    <col min="11775" max="11775" width="12.7109375" style="443" customWidth="1"/>
    <col min="11776" max="11776" width="23.28515625" style="443" customWidth="1"/>
    <col min="11777" max="11777" width="19.28515625" style="443" bestFit="1" customWidth="1"/>
    <col min="11778" max="12025" width="9.140625" style="443"/>
    <col min="12026" max="12026" width="2.7109375" style="443" customWidth="1"/>
    <col min="12027" max="12027" width="40.7109375" style="443" customWidth="1"/>
    <col min="12028" max="12029" width="16.7109375" style="443" customWidth="1"/>
    <col min="12030" max="12030" width="2.7109375" style="443" customWidth="1"/>
    <col min="12031" max="12031" width="12.7109375" style="443" customWidth="1"/>
    <col min="12032" max="12032" width="23.28515625" style="443" customWidth="1"/>
    <col min="12033" max="12033" width="19.28515625" style="443" bestFit="1" customWidth="1"/>
    <col min="12034" max="12281" width="9.140625" style="443"/>
    <col min="12282" max="12282" width="2.7109375" style="443" customWidth="1"/>
    <col min="12283" max="12283" width="40.7109375" style="443" customWidth="1"/>
    <col min="12284" max="12285" width="16.7109375" style="443" customWidth="1"/>
    <col min="12286" max="12286" width="2.7109375" style="443" customWidth="1"/>
    <col min="12287" max="12287" width="12.7109375" style="443" customWidth="1"/>
    <col min="12288" max="12288" width="23.28515625" style="443" customWidth="1"/>
    <col min="12289" max="12289" width="19.28515625" style="443" bestFit="1" customWidth="1"/>
    <col min="12290" max="12537" width="9.140625" style="443"/>
    <col min="12538" max="12538" width="2.7109375" style="443" customWidth="1"/>
    <col min="12539" max="12539" width="40.7109375" style="443" customWidth="1"/>
    <col min="12540" max="12541" width="16.7109375" style="443" customWidth="1"/>
    <col min="12542" max="12542" width="2.7109375" style="443" customWidth="1"/>
    <col min="12543" max="12543" width="12.7109375" style="443" customWidth="1"/>
    <col min="12544" max="12544" width="23.28515625" style="443" customWidth="1"/>
    <col min="12545" max="12545" width="19.28515625" style="443" bestFit="1" customWidth="1"/>
    <col min="12546" max="12793" width="9.140625" style="443"/>
    <col min="12794" max="12794" width="2.7109375" style="443" customWidth="1"/>
    <col min="12795" max="12795" width="40.7109375" style="443" customWidth="1"/>
    <col min="12796" max="12797" width="16.7109375" style="443" customWidth="1"/>
    <col min="12798" max="12798" width="2.7109375" style="443" customWidth="1"/>
    <col min="12799" max="12799" width="12.7109375" style="443" customWidth="1"/>
    <col min="12800" max="12800" width="23.28515625" style="443" customWidth="1"/>
    <col min="12801" max="12801" width="19.28515625" style="443" bestFit="1" customWidth="1"/>
    <col min="12802" max="13049" width="9.140625" style="443"/>
    <col min="13050" max="13050" width="2.7109375" style="443" customWidth="1"/>
    <col min="13051" max="13051" width="40.7109375" style="443" customWidth="1"/>
    <col min="13052" max="13053" width="16.7109375" style="443" customWidth="1"/>
    <col min="13054" max="13054" width="2.7109375" style="443" customWidth="1"/>
    <col min="13055" max="13055" width="12.7109375" style="443" customWidth="1"/>
    <col min="13056" max="13056" width="23.28515625" style="443" customWidth="1"/>
    <col min="13057" max="13057" width="19.28515625" style="443" bestFit="1" customWidth="1"/>
    <col min="13058" max="13305" width="9.140625" style="443"/>
    <col min="13306" max="13306" width="2.7109375" style="443" customWidth="1"/>
    <col min="13307" max="13307" width="40.7109375" style="443" customWidth="1"/>
    <col min="13308" max="13309" width="16.7109375" style="443" customWidth="1"/>
    <col min="13310" max="13310" width="2.7109375" style="443" customWidth="1"/>
    <col min="13311" max="13311" width="12.7109375" style="443" customWidth="1"/>
    <col min="13312" max="13312" width="23.28515625" style="443" customWidth="1"/>
    <col min="13313" max="13313" width="19.28515625" style="443" bestFit="1" customWidth="1"/>
    <col min="13314" max="13561" width="9.140625" style="443"/>
    <col min="13562" max="13562" width="2.7109375" style="443" customWidth="1"/>
    <col min="13563" max="13563" width="40.7109375" style="443" customWidth="1"/>
    <col min="13564" max="13565" width="16.7109375" style="443" customWidth="1"/>
    <col min="13566" max="13566" width="2.7109375" style="443" customWidth="1"/>
    <col min="13567" max="13567" width="12.7109375" style="443" customWidth="1"/>
    <col min="13568" max="13568" width="23.28515625" style="443" customWidth="1"/>
    <col min="13569" max="13569" width="19.28515625" style="443" bestFit="1" customWidth="1"/>
    <col min="13570" max="13817" width="9.140625" style="443"/>
    <col min="13818" max="13818" width="2.7109375" style="443" customWidth="1"/>
    <col min="13819" max="13819" width="40.7109375" style="443" customWidth="1"/>
    <col min="13820" max="13821" width="16.7109375" style="443" customWidth="1"/>
    <col min="13822" max="13822" width="2.7109375" style="443" customWidth="1"/>
    <col min="13823" max="13823" width="12.7109375" style="443" customWidth="1"/>
    <col min="13824" max="13824" width="23.28515625" style="443" customWidth="1"/>
    <col min="13825" max="13825" width="19.28515625" style="443" bestFit="1" customWidth="1"/>
    <col min="13826" max="14073" width="9.140625" style="443"/>
    <col min="14074" max="14074" width="2.7109375" style="443" customWidth="1"/>
    <col min="14075" max="14075" width="40.7109375" style="443" customWidth="1"/>
    <col min="14076" max="14077" width="16.7109375" style="443" customWidth="1"/>
    <col min="14078" max="14078" width="2.7109375" style="443" customWidth="1"/>
    <col min="14079" max="14079" width="12.7109375" style="443" customWidth="1"/>
    <col min="14080" max="14080" width="23.28515625" style="443" customWidth="1"/>
    <col min="14081" max="14081" width="19.28515625" style="443" bestFit="1" customWidth="1"/>
    <col min="14082" max="14329" width="9.140625" style="443"/>
    <col min="14330" max="14330" width="2.7109375" style="443" customWidth="1"/>
    <col min="14331" max="14331" width="40.7109375" style="443" customWidth="1"/>
    <col min="14332" max="14333" width="16.7109375" style="443" customWidth="1"/>
    <col min="14334" max="14334" width="2.7109375" style="443" customWidth="1"/>
    <col min="14335" max="14335" width="12.7109375" style="443" customWidth="1"/>
    <col min="14336" max="14336" width="23.28515625" style="443" customWidth="1"/>
    <col min="14337" max="14337" width="19.28515625" style="443" bestFit="1" customWidth="1"/>
    <col min="14338" max="14585" width="9.140625" style="443"/>
    <col min="14586" max="14586" width="2.7109375" style="443" customWidth="1"/>
    <col min="14587" max="14587" width="40.7109375" style="443" customWidth="1"/>
    <col min="14588" max="14589" width="16.7109375" style="443" customWidth="1"/>
    <col min="14590" max="14590" width="2.7109375" style="443" customWidth="1"/>
    <col min="14591" max="14591" width="12.7109375" style="443" customWidth="1"/>
    <col min="14592" max="14592" width="23.28515625" style="443" customWidth="1"/>
    <col min="14593" max="14593" width="19.28515625" style="443" bestFit="1" customWidth="1"/>
    <col min="14594" max="14841" width="9.140625" style="443"/>
    <col min="14842" max="14842" width="2.7109375" style="443" customWidth="1"/>
    <col min="14843" max="14843" width="40.7109375" style="443" customWidth="1"/>
    <col min="14844" max="14845" width="16.7109375" style="443" customWidth="1"/>
    <col min="14846" max="14846" width="2.7109375" style="443" customWidth="1"/>
    <col min="14847" max="14847" width="12.7109375" style="443" customWidth="1"/>
    <col min="14848" max="14848" width="23.28515625" style="443" customWidth="1"/>
    <col min="14849" max="14849" width="19.28515625" style="443" bestFit="1" customWidth="1"/>
    <col min="14850" max="15097" width="9.140625" style="443"/>
    <col min="15098" max="15098" width="2.7109375" style="443" customWidth="1"/>
    <col min="15099" max="15099" width="40.7109375" style="443" customWidth="1"/>
    <col min="15100" max="15101" width="16.7109375" style="443" customWidth="1"/>
    <col min="15102" max="15102" width="2.7109375" style="443" customWidth="1"/>
    <col min="15103" max="15103" width="12.7109375" style="443" customWidth="1"/>
    <col min="15104" max="15104" width="23.28515625" style="443" customWidth="1"/>
    <col min="15105" max="15105" width="19.28515625" style="443" bestFit="1" customWidth="1"/>
    <col min="15106" max="15353" width="9.140625" style="443"/>
    <col min="15354" max="15354" width="2.7109375" style="443" customWidth="1"/>
    <col min="15355" max="15355" width="40.7109375" style="443" customWidth="1"/>
    <col min="15356" max="15357" width="16.7109375" style="443" customWidth="1"/>
    <col min="15358" max="15358" width="2.7109375" style="443" customWidth="1"/>
    <col min="15359" max="15359" width="12.7109375" style="443" customWidth="1"/>
    <col min="15360" max="15360" width="23.28515625" style="443" customWidth="1"/>
    <col min="15361" max="15361" width="19.28515625" style="443" bestFit="1" customWidth="1"/>
    <col min="15362" max="15609" width="9.140625" style="443"/>
    <col min="15610" max="15610" width="2.7109375" style="443" customWidth="1"/>
    <col min="15611" max="15611" width="40.7109375" style="443" customWidth="1"/>
    <col min="15612" max="15613" width="16.7109375" style="443" customWidth="1"/>
    <col min="15614" max="15614" width="2.7109375" style="443" customWidth="1"/>
    <col min="15615" max="15615" width="12.7109375" style="443" customWidth="1"/>
    <col min="15616" max="15616" width="23.28515625" style="443" customWidth="1"/>
    <col min="15617" max="15617" width="19.28515625" style="443" bestFit="1" customWidth="1"/>
    <col min="15618" max="15865" width="9.140625" style="443"/>
    <col min="15866" max="15866" width="2.7109375" style="443" customWidth="1"/>
    <col min="15867" max="15867" width="40.7109375" style="443" customWidth="1"/>
    <col min="15868" max="15869" width="16.7109375" style="443" customWidth="1"/>
    <col min="15870" max="15870" width="2.7109375" style="443" customWidth="1"/>
    <col min="15871" max="15871" width="12.7109375" style="443" customWidth="1"/>
    <col min="15872" max="15872" width="23.28515625" style="443" customWidth="1"/>
    <col min="15873" max="15873" width="19.28515625" style="443" bestFit="1" customWidth="1"/>
    <col min="15874" max="16121" width="9.140625" style="443"/>
    <col min="16122" max="16122" width="2.7109375" style="443" customWidth="1"/>
    <col min="16123" max="16123" width="40.7109375" style="443" customWidth="1"/>
    <col min="16124" max="16125" width="16.7109375" style="443" customWidth="1"/>
    <col min="16126" max="16126" width="2.7109375" style="443" customWidth="1"/>
    <col min="16127" max="16127" width="12.7109375" style="443" customWidth="1"/>
    <col min="16128" max="16128" width="23.28515625" style="443" customWidth="1"/>
    <col min="16129" max="16129" width="19.28515625" style="443" bestFit="1" customWidth="1"/>
    <col min="16130" max="16384" width="9.140625" style="443"/>
  </cols>
  <sheetData>
    <row r="1" spans="2:34" x14ac:dyDescent="0.2">
      <c r="B1" s="441"/>
      <c r="C1" s="441"/>
      <c r="D1" s="441"/>
      <c r="E1" s="442"/>
      <c r="F1" s="442"/>
      <c r="G1" s="442"/>
      <c r="H1" s="442"/>
      <c r="I1" s="442"/>
      <c r="J1" s="442"/>
      <c r="K1" s="442"/>
      <c r="L1" s="442"/>
      <c r="M1" s="442"/>
      <c r="N1" s="442"/>
      <c r="O1" s="442"/>
      <c r="P1" s="442"/>
      <c r="Q1" s="442"/>
      <c r="R1" s="442"/>
      <c r="S1" s="442"/>
      <c r="T1" s="442"/>
      <c r="U1" s="442"/>
      <c r="V1" s="442"/>
      <c r="X1" s="442"/>
      <c r="Y1" s="442"/>
      <c r="AA1" s="442"/>
      <c r="AB1" s="442"/>
      <c r="AD1" s="442"/>
      <c r="AE1" s="442"/>
      <c r="AG1" s="442"/>
      <c r="AH1" s="442"/>
    </row>
    <row r="2" spans="2:34" x14ac:dyDescent="0.2">
      <c r="B2" s="125" t="s">
        <v>7</v>
      </c>
      <c r="C2" s="125"/>
      <c r="D2" s="125"/>
      <c r="E2" s="125"/>
      <c r="F2" s="125"/>
      <c r="G2" s="125"/>
      <c r="H2" s="125"/>
      <c r="I2" s="125"/>
      <c r="J2" s="125"/>
      <c r="K2" s="125"/>
      <c r="L2" s="125"/>
      <c r="M2" s="125"/>
      <c r="N2" s="125"/>
      <c r="O2" s="125"/>
      <c r="P2" s="125"/>
      <c r="Q2" s="125"/>
      <c r="R2" s="125"/>
      <c r="S2" s="125"/>
      <c r="T2" s="125"/>
      <c r="U2" s="125"/>
      <c r="V2" s="125"/>
      <c r="W2" s="444"/>
      <c r="X2" s="125"/>
      <c r="Y2" s="125"/>
      <c r="Z2" s="444"/>
      <c r="AA2" s="125"/>
      <c r="AB2" s="125"/>
      <c r="AC2" s="444"/>
      <c r="AD2" s="125"/>
      <c r="AE2" s="125"/>
      <c r="AF2" s="444"/>
      <c r="AG2" s="125"/>
      <c r="AH2" s="125"/>
    </row>
    <row r="3" spans="2:34" x14ac:dyDescent="0.2">
      <c r="B3" s="125" t="s">
        <v>8</v>
      </c>
      <c r="C3" s="125"/>
      <c r="D3" s="125"/>
      <c r="E3" s="125"/>
      <c r="F3" s="125"/>
      <c r="G3" s="125"/>
      <c r="H3" s="125"/>
      <c r="I3" s="125"/>
      <c r="J3" s="125"/>
      <c r="K3" s="125"/>
      <c r="L3" s="125"/>
      <c r="M3" s="125"/>
      <c r="N3" s="125"/>
      <c r="O3" s="125"/>
      <c r="P3" s="125"/>
      <c r="Q3" s="125"/>
      <c r="R3" s="125"/>
      <c r="S3" s="125"/>
      <c r="T3" s="125"/>
      <c r="U3" s="125"/>
      <c r="V3" s="125"/>
      <c r="W3" s="444"/>
      <c r="X3" s="125"/>
      <c r="Y3" s="125"/>
      <c r="Z3" s="444"/>
      <c r="AA3" s="125"/>
      <c r="AB3" s="125"/>
      <c r="AC3" s="444"/>
      <c r="AD3" s="125"/>
      <c r="AE3" s="125"/>
      <c r="AF3" s="444"/>
      <c r="AG3" s="125"/>
      <c r="AH3" s="125"/>
    </row>
    <row r="4" spans="2:34" x14ac:dyDescent="0.2">
      <c r="B4" s="125" t="s">
        <v>237</v>
      </c>
      <c r="C4" s="125"/>
      <c r="D4" s="125"/>
      <c r="E4" s="125"/>
      <c r="F4" s="125"/>
      <c r="G4" s="125"/>
      <c r="H4" s="125"/>
      <c r="I4" s="125"/>
      <c r="J4" s="125"/>
      <c r="K4" s="125"/>
      <c r="L4" s="125"/>
      <c r="M4" s="125"/>
      <c r="N4" s="125"/>
      <c r="O4" s="125"/>
      <c r="P4" s="125"/>
      <c r="Q4" s="125"/>
      <c r="R4" s="125"/>
      <c r="S4" s="125"/>
      <c r="T4" s="125"/>
      <c r="U4" s="125"/>
      <c r="V4" s="125"/>
      <c r="W4" s="444"/>
      <c r="X4" s="125"/>
      <c r="Y4" s="125"/>
      <c r="Z4" s="444"/>
      <c r="AA4" s="125"/>
      <c r="AB4" s="125"/>
      <c r="AC4" s="444"/>
      <c r="AD4" s="125"/>
      <c r="AE4" s="125"/>
      <c r="AF4" s="444"/>
      <c r="AG4" s="125"/>
      <c r="AH4" s="125"/>
    </row>
    <row r="5" spans="2:34" x14ac:dyDescent="0.2">
      <c r="B5" s="445"/>
      <c r="C5" s="445"/>
      <c r="D5" s="445"/>
      <c r="E5" s="446"/>
      <c r="F5" s="446"/>
      <c r="G5" s="446"/>
      <c r="H5" s="446"/>
      <c r="I5" s="446"/>
      <c r="J5" s="446"/>
      <c r="K5" s="446"/>
      <c r="L5" s="446"/>
      <c r="M5" s="446"/>
      <c r="N5" s="446"/>
      <c r="O5" s="446"/>
      <c r="P5" s="446"/>
      <c r="Q5" s="446"/>
      <c r="R5" s="446"/>
      <c r="S5" s="446"/>
      <c r="T5" s="446"/>
      <c r="U5" s="446"/>
      <c r="V5" s="446"/>
      <c r="X5" s="446"/>
      <c r="Y5" s="446"/>
      <c r="AA5" s="446"/>
      <c r="AB5" s="446"/>
      <c r="AD5" s="446"/>
      <c r="AE5" s="446"/>
      <c r="AG5" s="446"/>
      <c r="AH5" s="446"/>
    </row>
    <row r="6" spans="2:34" ht="15" customHeight="1" x14ac:dyDescent="0.2">
      <c r="B6" s="705" t="s">
        <v>25</v>
      </c>
      <c r="C6" s="705" t="s">
        <v>1</v>
      </c>
      <c r="D6" s="705" t="s">
        <v>0</v>
      </c>
      <c r="E6" s="447"/>
      <c r="F6" s="707" t="s">
        <v>241</v>
      </c>
      <c r="G6" s="707"/>
      <c r="H6" s="707"/>
      <c r="I6" s="707"/>
      <c r="J6" s="707"/>
      <c r="K6" s="707"/>
      <c r="L6" s="707"/>
      <c r="M6" s="707"/>
      <c r="N6" s="707"/>
      <c r="O6" s="707"/>
      <c r="P6" s="707"/>
      <c r="Q6" s="707"/>
      <c r="R6" s="707"/>
      <c r="S6" s="707"/>
      <c r="T6" s="447"/>
      <c r="U6" s="707" t="s">
        <v>240</v>
      </c>
      <c r="V6" s="707"/>
      <c r="W6" s="707"/>
      <c r="X6" s="707"/>
      <c r="Y6" s="707"/>
      <c r="Z6" s="707"/>
      <c r="AA6" s="707"/>
      <c r="AB6" s="707"/>
      <c r="AC6" s="707"/>
      <c r="AD6" s="707"/>
      <c r="AE6" s="707"/>
      <c r="AF6" s="707"/>
      <c r="AG6" s="707"/>
      <c r="AH6" s="707"/>
    </row>
    <row r="7" spans="2:34" ht="15" customHeight="1" x14ac:dyDescent="0.2">
      <c r="B7" s="708"/>
      <c r="C7" s="708"/>
      <c r="D7" s="708"/>
      <c r="E7" s="448"/>
      <c r="F7" s="705" t="s">
        <v>88</v>
      </c>
      <c r="G7" s="705"/>
      <c r="H7" s="449"/>
      <c r="I7" s="705" t="s">
        <v>91</v>
      </c>
      <c r="J7" s="705"/>
      <c r="K7" s="449"/>
      <c r="L7" s="705" t="s">
        <v>90</v>
      </c>
      <c r="M7" s="705"/>
      <c r="N7" s="449"/>
      <c r="O7" s="705" t="s">
        <v>89</v>
      </c>
      <c r="P7" s="705"/>
      <c r="Q7" s="449"/>
      <c r="R7" s="705" t="s">
        <v>92</v>
      </c>
      <c r="S7" s="705"/>
      <c r="T7" s="450"/>
      <c r="U7" s="705" t="s">
        <v>227</v>
      </c>
      <c r="V7" s="705"/>
      <c r="W7" s="451"/>
      <c r="X7" s="704" t="s">
        <v>228</v>
      </c>
      <c r="Y7" s="705"/>
      <c r="Z7" s="451"/>
      <c r="AA7" s="704" t="s">
        <v>229</v>
      </c>
      <c r="AB7" s="705"/>
      <c r="AC7" s="451"/>
      <c r="AD7" s="704" t="s">
        <v>230</v>
      </c>
      <c r="AE7" s="705"/>
      <c r="AF7" s="451"/>
      <c r="AG7" s="704" t="s">
        <v>231</v>
      </c>
      <c r="AH7" s="705"/>
    </row>
    <row r="8" spans="2:34" x14ac:dyDescent="0.2">
      <c r="B8" s="706"/>
      <c r="C8" s="706"/>
      <c r="D8" s="706"/>
      <c r="E8" s="452"/>
      <c r="F8" s="706"/>
      <c r="G8" s="706"/>
      <c r="H8" s="452"/>
      <c r="I8" s="706"/>
      <c r="J8" s="706"/>
      <c r="K8" s="452"/>
      <c r="L8" s="706"/>
      <c r="M8" s="706"/>
      <c r="N8" s="452"/>
      <c r="O8" s="706"/>
      <c r="P8" s="706"/>
      <c r="Q8" s="452"/>
      <c r="R8" s="706"/>
      <c r="S8" s="706"/>
      <c r="T8" s="452"/>
      <c r="U8" s="706"/>
      <c r="V8" s="706"/>
      <c r="W8" s="453"/>
      <c r="X8" s="706"/>
      <c r="Y8" s="706"/>
      <c r="Z8" s="453"/>
      <c r="AA8" s="706"/>
      <c r="AB8" s="706"/>
      <c r="AC8" s="453"/>
      <c r="AD8" s="706"/>
      <c r="AE8" s="706"/>
      <c r="AF8" s="453"/>
      <c r="AG8" s="706"/>
      <c r="AH8" s="706"/>
    </row>
    <row r="10" spans="2:34" x14ac:dyDescent="0.2">
      <c r="B10" s="200"/>
      <c r="C10" s="200"/>
      <c r="D10" s="202"/>
      <c r="F10" s="202"/>
      <c r="O10" s="454">
        <f>O14/10000</f>
        <v>3.55</v>
      </c>
    </row>
    <row r="11" spans="2:34" x14ac:dyDescent="0.2">
      <c r="B11" s="201" t="str">
        <f>'Collection - Downtown'!N11</f>
        <v>Gravity Sewer</v>
      </c>
      <c r="C11" s="202" t="str">
        <f>'Collection - Downtown'!O11</f>
        <v>L.F.</v>
      </c>
      <c r="D11" s="203">
        <f>'Collection - Downtown'!P11</f>
        <v>125</v>
      </c>
      <c r="E11" s="204"/>
      <c r="F11" s="480">
        <v>35500</v>
      </c>
      <c r="G11" s="204">
        <f>F11*$D11</f>
        <v>4437500</v>
      </c>
      <c r="H11" s="204"/>
      <c r="I11" s="205"/>
      <c r="J11" s="204"/>
      <c r="K11" s="204"/>
      <c r="L11" s="205"/>
      <c r="M11" s="204"/>
      <c r="N11" s="204"/>
      <c r="O11" s="205"/>
      <c r="P11" s="204"/>
      <c r="Q11" s="204"/>
      <c r="R11" s="205"/>
      <c r="S11" s="204"/>
      <c r="T11" s="204"/>
      <c r="U11" s="481">
        <v>34000</v>
      </c>
      <c r="V11" s="204">
        <f>U11*$D11</f>
        <v>4250000</v>
      </c>
      <c r="X11" s="205">
        <f>$U$11</f>
        <v>34000</v>
      </c>
      <c r="Y11" s="204">
        <f>X11*$D11</f>
        <v>4250000</v>
      </c>
      <c r="AA11" s="205">
        <f>$X$11</f>
        <v>34000</v>
      </c>
      <c r="AB11" s="204">
        <f>AA11*$D11</f>
        <v>4250000</v>
      </c>
      <c r="AD11" s="205">
        <f>$X$11</f>
        <v>34000</v>
      </c>
      <c r="AE11" s="204">
        <f>AD11*$D11</f>
        <v>4250000</v>
      </c>
      <c r="AG11" s="205">
        <f>$X$11</f>
        <v>34000</v>
      </c>
      <c r="AH11" s="204">
        <f>AG11*$D11</f>
        <v>4250000</v>
      </c>
    </row>
    <row r="12" spans="2:34" x14ac:dyDescent="0.2">
      <c r="B12" s="201" t="str">
        <f>'Collection - Downtown'!N10</f>
        <v>Force Main</v>
      </c>
      <c r="C12" s="202" t="str">
        <f>'Collection - Downtown'!O10</f>
        <v>L.F.</v>
      </c>
      <c r="D12" s="203">
        <f>'Collection - Downtown'!P10</f>
        <v>120</v>
      </c>
      <c r="E12" s="204"/>
      <c r="F12" s="480">
        <v>15000</v>
      </c>
      <c r="G12" s="204">
        <f t="shared" ref="G12:G21" si="0">F12*$D12</f>
        <v>1800000</v>
      </c>
      <c r="H12" s="204"/>
      <c r="I12" s="481">
        <v>15000</v>
      </c>
      <c r="J12" s="204">
        <f t="shared" ref="J12:J19" si="1">I12*$D12</f>
        <v>1800000</v>
      </c>
      <c r="K12" s="204"/>
      <c r="L12" s="481">
        <v>2000</v>
      </c>
      <c r="M12" s="204">
        <f t="shared" ref="M12:M22" si="2">L12*$D12</f>
        <v>240000</v>
      </c>
      <c r="N12" s="204"/>
      <c r="O12" s="481">
        <v>15000</v>
      </c>
      <c r="P12" s="204">
        <f t="shared" ref="P12:P23" si="3">O12*$D12</f>
        <v>1800000</v>
      </c>
      <c r="Q12" s="204"/>
      <c r="R12" s="481">
        <v>2000</v>
      </c>
      <c r="S12" s="204">
        <f t="shared" ref="S12:S19" si="4">R12*$D12</f>
        <v>240000</v>
      </c>
      <c r="T12" s="204"/>
      <c r="U12" s="481">
        <v>11000</v>
      </c>
      <c r="V12" s="204">
        <f t="shared" ref="V12:V22" si="5">U12*$D12</f>
        <v>1320000</v>
      </c>
      <c r="X12" s="205">
        <f>$U$12</f>
        <v>11000</v>
      </c>
      <c r="Y12" s="204">
        <f t="shared" ref="Y12:Y24" si="6">X12*$D12</f>
        <v>1320000</v>
      </c>
      <c r="AA12" s="205">
        <f>$X$12</f>
        <v>11000</v>
      </c>
      <c r="AB12" s="204">
        <f t="shared" ref="AB12:AB21" si="7">AA12*$D12</f>
        <v>1320000</v>
      </c>
      <c r="AD12" s="205">
        <f>$X$12</f>
        <v>11000</v>
      </c>
      <c r="AE12" s="204">
        <f>AD12*$D12</f>
        <v>1320000</v>
      </c>
      <c r="AG12" s="205">
        <f>$X$12</f>
        <v>11000</v>
      </c>
      <c r="AH12" s="204">
        <f t="shared" ref="AH12:AH21" si="8">AG12*$D12</f>
        <v>1320000</v>
      </c>
    </row>
    <row r="13" spans="2:34" x14ac:dyDescent="0.2">
      <c r="B13" s="201" t="str">
        <f>'Collection - Downtown'!N13</f>
        <v>Low Pressure Sewer</v>
      </c>
      <c r="C13" s="202" t="str">
        <f>'Collection - Downtown'!O13</f>
        <v>L.F.</v>
      </c>
      <c r="D13" s="203">
        <f>'Collection - Downtown'!P13</f>
        <v>100</v>
      </c>
      <c r="E13" s="204"/>
      <c r="F13" s="205"/>
      <c r="G13" s="204"/>
      <c r="H13" s="204"/>
      <c r="I13" s="205"/>
      <c r="J13" s="204"/>
      <c r="K13" s="204"/>
      <c r="L13" s="481">
        <v>35500</v>
      </c>
      <c r="M13" s="204">
        <f t="shared" si="2"/>
        <v>3550000</v>
      </c>
      <c r="N13" s="204"/>
      <c r="O13" s="205"/>
      <c r="P13" s="204"/>
      <c r="Q13" s="204"/>
      <c r="R13" s="205"/>
      <c r="S13" s="204"/>
      <c r="T13" s="204"/>
      <c r="U13" s="481">
        <v>1500</v>
      </c>
      <c r="V13" s="204">
        <f t="shared" si="5"/>
        <v>150000</v>
      </c>
      <c r="X13" s="205"/>
      <c r="Y13" s="204"/>
      <c r="AA13" s="205"/>
      <c r="AB13" s="204"/>
      <c r="AD13" s="205"/>
      <c r="AE13" s="204"/>
      <c r="AG13" s="205"/>
      <c r="AH13" s="204"/>
    </row>
    <row r="14" spans="2:34" x14ac:dyDescent="0.2">
      <c r="B14" s="201" t="str">
        <f>'Collection - Downtown'!N21</f>
        <v>Vacuum Sewer</v>
      </c>
      <c r="C14" s="202" t="str">
        <f>'Collection - Downtown'!O21</f>
        <v>L.F.</v>
      </c>
      <c r="D14" s="203">
        <f>'Collection - Downtown'!P21</f>
        <v>110</v>
      </c>
      <c r="E14" s="204"/>
      <c r="F14" s="205"/>
      <c r="G14" s="204"/>
      <c r="H14" s="204"/>
      <c r="I14" s="205"/>
      <c r="J14" s="204"/>
      <c r="K14" s="204"/>
      <c r="L14" s="205"/>
      <c r="M14" s="204"/>
      <c r="N14" s="204"/>
      <c r="O14" s="481">
        <v>35500</v>
      </c>
      <c r="P14" s="204">
        <f t="shared" si="3"/>
        <v>3905000</v>
      </c>
      <c r="Q14" s="204"/>
      <c r="R14" s="205"/>
      <c r="S14" s="204"/>
      <c r="T14" s="204"/>
      <c r="U14" s="205"/>
      <c r="V14" s="204"/>
      <c r="X14" s="205"/>
      <c r="Y14" s="204"/>
      <c r="AA14" s="205"/>
      <c r="AB14" s="204"/>
      <c r="AD14" s="205"/>
      <c r="AE14" s="204"/>
      <c r="AG14" s="205"/>
      <c r="AH14" s="204"/>
    </row>
    <row r="15" spans="2:34" x14ac:dyDescent="0.2">
      <c r="B15" s="201" t="str">
        <f>'Collection - Downtown'!N18</f>
        <v>STEP Force Main</v>
      </c>
      <c r="C15" s="202" t="str">
        <f>'Collection - Downtown'!O18</f>
        <v>L.F.</v>
      </c>
      <c r="D15" s="203">
        <f>'Collection - Downtown'!P18</f>
        <v>100</v>
      </c>
      <c r="E15" s="204"/>
      <c r="F15" s="205"/>
      <c r="G15" s="204"/>
      <c r="H15" s="204"/>
      <c r="I15" s="205"/>
      <c r="J15" s="204"/>
      <c r="K15" s="204"/>
      <c r="L15" s="205"/>
      <c r="M15" s="204"/>
      <c r="N15" s="204"/>
      <c r="O15" s="205"/>
      <c r="P15" s="204"/>
      <c r="Q15" s="204"/>
      <c r="R15" s="481">
        <v>35500</v>
      </c>
      <c r="S15" s="204">
        <f t="shared" si="4"/>
        <v>3550000</v>
      </c>
      <c r="T15" s="204"/>
      <c r="U15" s="205"/>
      <c r="V15" s="204"/>
      <c r="X15" s="205">
        <f>U13</f>
        <v>1500</v>
      </c>
      <c r="Y15" s="204">
        <f t="shared" si="6"/>
        <v>150000</v>
      </c>
      <c r="AA15" s="205">
        <f>$X$15</f>
        <v>1500</v>
      </c>
      <c r="AB15" s="204">
        <f t="shared" si="7"/>
        <v>150000</v>
      </c>
      <c r="AD15" s="205">
        <f>$X$15</f>
        <v>1500</v>
      </c>
      <c r="AE15" s="204">
        <f t="shared" ref="AE15:AE21" si="9">AD15*$D15</f>
        <v>150000</v>
      </c>
      <c r="AG15" s="205">
        <f>$X$15</f>
        <v>1500</v>
      </c>
      <c r="AH15" s="204">
        <f t="shared" si="8"/>
        <v>150000</v>
      </c>
    </row>
    <row r="16" spans="2:34" x14ac:dyDescent="0.2">
      <c r="B16" s="201" t="str">
        <f>'Collection - Downtown'!N16</f>
        <v>STEG Sewer</v>
      </c>
      <c r="C16" s="202" t="str">
        <f>'Collection - Downtown'!O16</f>
        <v>L.F.</v>
      </c>
      <c r="D16" s="203">
        <f>'Collection - Downtown'!P16</f>
        <v>125</v>
      </c>
      <c r="E16" s="115"/>
      <c r="F16" s="205"/>
      <c r="G16" s="204"/>
      <c r="H16" s="204"/>
      <c r="I16" s="481">
        <v>35500</v>
      </c>
      <c r="J16" s="204">
        <f t="shared" si="1"/>
        <v>4437500</v>
      </c>
      <c r="K16" s="204"/>
      <c r="L16" s="205"/>
      <c r="M16" s="204"/>
      <c r="N16" s="204"/>
      <c r="O16" s="205"/>
      <c r="P16" s="204"/>
      <c r="Q16" s="204"/>
      <c r="R16" s="205"/>
      <c r="S16" s="204"/>
      <c r="T16" s="204"/>
      <c r="U16" s="205"/>
      <c r="V16" s="204"/>
      <c r="X16" s="205"/>
      <c r="Y16" s="204"/>
      <c r="AA16" s="205"/>
      <c r="AB16" s="204"/>
      <c r="AD16" s="205"/>
      <c r="AE16" s="204"/>
      <c r="AG16" s="205"/>
      <c r="AH16" s="204"/>
    </row>
    <row r="17" spans="1:40" x14ac:dyDescent="0.2">
      <c r="B17" s="201" t="str">
        <f>'Collection - Downtown'!N19</f>
        <v>Submersible Pump Station</v>
      </c>
      <c r="C17" s="202" t="str">
        <f>'Collection - Downtown'!O19</f>
        <v>Each</v>
      </c>
      <c r="D17" s="207">
        <f>'Collection - Downtown'!P19</f>
        <v>275000</v>
      </c>
      <c r="E17" s="204"/>
      <c r="F17" s="480">
        <v>2</v>
      </c>
      <c r="G17" s="204">
        <f t="shared" si="0"/>
        <v>550000</v>
      </c>
      <c r="H17" s="204"/>
      <c r="I17" s="481">
        <v>2</v>
      </c>
      <c r="J17" s="204">
        <f t="shared" si="1"/>
        <v>550000</v>
      </c>
      <c r="K17" s="204"/>
      <c r="L17" s="205"/>
      <c r="M17" s="204"/>
      <c r="N17" s="204"/>
      <c r="O17" s="205"/>
      <c r="P17" s="204"/>
      <c r="Q17" s="204"/>
      <c r="R17" s="205"/>
      <c r="S17" s="204"/>
      <c r="T17" s="204"/>
      <c r="U17" s="205"/>
      <c r="V17" s="204"/>
      <c r="X17" s="205"/>
      <c r="Y17" s="204"/>
      <c r="AA17" s="205"/>
      <c r="AB17" s="204"/>
      <c r="AD17" s="205"/>
      <c r="AE17" s="204"/>
      <c r="AG17" s="205"/>
      <c r="AH17" s="204"/>
    </row>
    <row r="18" spans="1:40" x14ac:dyDescent="0.2">
      <c r="B18" s="201" t="str">
        <f>'Collection - Downtown'!N23</f>
        <v>Wet Pit /Dry Pit Pump Station</v>
      </c>
      <c r="C18" s="208" t="str">
        <f>'Collection - Downtown'!O23</f>
        <v>Each</v>
      </c>
      <c r="D18" s="209">
        <f>'Collection - Downtown'!P23</f>
        <v>470000</v>
      </c>
      <c r="E18" s="204"/>
      <c r="F18" s="205"/>
      <c r="G18" s="204"/>
      <c r="H18" s="204"/>
      <c r="I18" s="205"/>
      <c r="J18" s="204"/>
      <c r="K18" s="204"/>
      <c r="L18" s="205"/>
      <c r="M18" s="204"/>
      <c r="N18" s="204"/>
      <c r="O18" s="205"/>
      <c r="P18" s="204"/>
      <c r="Q18" s="204"/>
      <c r="R18" s="205"/>
      <c r="S18" s="204"/>
      <c r="T18" s="204"/>
      <c r="U18" s="205"/>
      <c r="V18" s="204"/>
      <c r="X18" s="205"/>
      <c r="Y18" s="204"/>
      <c r="AA18" s="205"/>
      <c r="AB18" s="204"/>
      <c r="AD18" s="205"/>
      <c r="AE18" s="204"/>
      <c r="AG18" s="205"/>
      <c r="AH18" s="204"/>
    </row>
    <row r="19" spans="1:40" x14ac:dyDescent="0.2">
      <c r="B19" s="201" t="str">
        <f>'Collection - Downtown'!N9</f>
        <v>Custom Pump Station</v>
      </c>
      <c r="C19" s="202" t="str">
        <f>'Collection - Downtown'!O9</f>
        <v>Each</v>
      </c>
      <c r="D19" s="203">
        <f>'Collection - Downtown'!P9</f>
        <v>585000</v>
      </c>
      <c r="E19" s="204"/>
      <c r="F19" s="480">
        <v>4</v>
      </c>
      <c r="G19" s="204">
        <f t="shared" si="0"/>
        <v>2340000</v>
      </c>
      <c r="H19" s="204"/>
      <c r="I19" s="206">
        <v>4</v>
      </c>
      <c r="J19" s="204">
        <f t="shared" si="1"/>
        <v>2340000</v>
      </c>
      <c r="K19" s="204"/>
      <c r="L19" s="481">
        <v>1</v>
      </c>
      <c r="M19" s="204">
        <f t="shared" si="2"/>
        <v>585000</v>
      </c>
      <c r="N19" s="204"/>
      <c r="O19" s="205"/>
      <c r="P19" s="204"/>
      <c r="Q19" s="204"/>
      <c r="R19" s="481">
        <v>1</v>
      </c>
      <c r="S19" s="204">
        <f t="shared" si="4"/>
        <v>585000</v>
      </c>
      <c r="T19" s="204"/>
      <c r="U19" s="481">
        <v>4</v>
      </c>
      <c r="V19" s="204">
        <f t="shared" si="5"/>
        <v>2340000</v>
      </c>
      <c r="X19" s="205">
        <f>$U$19</f>
        <v>4</v>
      </c>
      <c r="Y19" s="204">
        <f t="shared" si="6"/>
        <v>2340000</v>
      </c>
      <c r="AA19" s="205">
        <f>$X$19</f>
        <v>4</v>
      </c>
      <c r="AB19" s="204">
        <f t="shared" si="7"/>
        <v>2340000</v>
      </c>
      <c r="AD19" s="205">
        <f>$X$19</f>
        <v>4</v>
      </c>
      <c r="AE19" s="204">
        <f t="shared" si="9"/>
        <v>2340000</v>
      </c>
      <c r="AG19" s="205">
        <f>$X$19</f>
        <v>4</v>
      </c>
      <c r="AH19" s="204">
        <f t="shared" si="8"/>
        <v>2340000</v>
      </c>
    </row>
    <row r="20" spans="1:40" x14ac:dyDescent="0.2">
      <c r="B20" s="201" t="str">
        <f>'Collection - Downtown'!N20</f>
        <v>Vacuum Pump Station</v>
      </c>
      <c r="C20" s="202" t="str">
        <f>'Collection - Downtown'!O20</f>
        <v>Each</v>
      </c>
      <c r="D20" s="203">
        <f>'Collection - Downtown'!P20</f>
        <v>860000</v>
      </c>
      <c r="E20" s="204"/>
      <c r="F20" s="205"/>
      <c r="G20" s="204"/>
      <c r="H20" s="204"/>
      <c r="I20" s="205"/>
      <c r="J20" s="204"/>
      <c r="K20" s="204"/>
      <c r="L20" s="205"/>
      <c r="M20" s="204"/>
      <c r="N20" s="204"/>
      <c r="O20" s="481">
        <f>ROUND(O10,0)</f>
        <v>4</v>
      </c>
      <c r="P20" s="204">
        <f t="shared" si="3"/>
        <v>3440000</v>
      </c>
      <c r="Q20" s="204"/>
      <c r="R20" s="205"/>
      <c r="S20" s="204"/>
      <c r="T20" s="204"/>
      <c r="U20" s="205"/>
      <c r="V20" s="204"/>
      <c r="X20" s="205"/>
      <c r="Y20" s="204"/>
      <c r="AA20" s="205"/>
      <c r="AB20" s="204"/>
      <c r="AD20" s="205"/>
      <c r="AE20" s="204"/>
      <c r="AG20" s="205"/>
      <c r="AH20" s="204"/>
    </row>
    <row r="21" spans="1:40" x14ac:dyDescent="0.2">
      <c r="B21" s="201" t="str">
        <f>'Collection - Downtown'!N12</f>
        <v>Gravity Sewer - Private Property</v>
      </c>
      <c r="C21" s="202" t="str">
        <f>'Collection - Downtown'!O12</f>
        <v>Each</v>
      </c>
      <c r="D21" s="203">
        <f>'Collection - Downtown'!P12</f>
        <v>7800</v>
      </c>
      <c r="E21" s="204"/>
      <c r="F21" s="480">
        <v>349</v>
      </c>
      <c r="G21" s="204">
        <f t="shared" si="0"/>
        <v>2722200</v>
      </c>
      <c r="H21" s="204"/>
      <c r="I21" s="205"/>
      <c r="J21" s="204"/>
      <c r="K21" s="204"/>
      <c r="L21" s="205"/>
      <c r="M21" s="204"/>
      <c r="N21" s="204"/>
      <c r="O21" s="205"/>
      <c r="P21" s="204"/>
      <c r="Q21" s="204"/>
      <c r="R21" s="205"/>
      <c r="S21" s="204"/>
      <c r="T21" s="204"/>
      <c r="U21" s="481">
        <v>341</v>
      </c>
      <c r="V21" s="204">
        <f t="shared" si="5"/>
        <v>2659800</v>
      </c>
      <c r="X21" s="205">
        <f>U$21</f>
        <v>341</v>
      </c>
      <c r="Y21" s="204">
        <f t="shared" si="6"/>
        <v>2659800</v>
      </c>
      <c r="AA21" s="205">
        <f>$X$21</f>
        <v>341</v>
      </c>
      <c r="AB21" s="204">
        <f t="shared" si="7"/>
        <v>2659800</v>
      </c>
      <c r="AD21" s="205">
        <f>$X$21</f>
        <v>341</v>
      </c>
      <c r="AE21" s="204">
        <f t="shared" si="9"/>
        <v>2659800</v>
      </c>
      <c r="AG21" s="205">
        <f>$X$21</f>
        <v>341</v>
      </c>
      <c r="AH21" s="204">
        <f t="shared" si="8"/>
        <v>2659800</v>
      </c>
    </row>
    <row r="22" spans="1:40" x14ac:dyDescent="0.2">
      <c r="B22" s="201" t="str">
        <f>'Collection - Downtown'!N14</f>
        <v>Low Pressure Sewer - Private Property</v>
      </c>
      <c r="C22" s="202" t="str">
        <f>'Collection - Downtown'!O14</f>
        <v>Each</v>
      </c>
      <c r="D22" s="203">
        <f>'Collection - Downtown'!P14</f>
        <v>12000</v>
      </c>
      <c r="E22" s="204"/>
      <c r="F22" s="205"/>
      <c r="G22" s="204"/>
      <c r="H22" s="204"/>
      <c r="I22" s="205"/>
      <c r="J22" s="204"/>
      <c r="K22" s="204"/>
      <c r="L22" s="481">
        <f>F21</f>
        <v>349</v>
      </c>
      <c r="M22" s="204">
        <f t="shared" si="2"/>
        <v>4188000</v>
      </c>
      <c r="N22" s="204"/>
      <c r="O22" s="205"/>
      <c r="P22" s="204"/>
      <c r="Q22" s="204"/>
      <c r="R22" s="205"/>
      <c r="S22" s="204"/>
      <c r="T22" s="204"/>
      <c r="U22" s="481">
        <f>F21-U21</f>
        <v>8</v>
      </c>
      <c r="V22" s="204">
        <f t="shared" si="5"/>
        <v>96000</v>
      </c>
      <c r="X22" s="205"/>
      <c r="Y22" s="204"/>
      <c r="AA22" s="205"/>
      <c r="AB22" s="204"/>
      <c r="AD22" s="205"/>
      <c r="AE22" s="204"/>
      <c r="AG22" s="205"/>
      <c r="AH22" s="204"/>
      <c r="AK22" s="455">
        <v>0.25</v>
      </c>
      <c r="AL22" s="455">
        <v>0.5</v>
      </c>
      <c r="AM22" s="455">
        <v>0.75</v>
      </c>
      <c r="AN22" s="455">
        <v>1</v>
      </c>
    </row>
    <row r="23" spans="1:40" x14ac:dyDescent="0.2">
      <c r="B23" s="201" t="str">
        <f>'Collection - Downtown'!N22</f>
        <v>Vacuum Sewer - Private Property</v>
      </c>
      <c r="C23" s="208" t="str">
        <f>'Collection - Downtown'!O22</f>
        <v>Each</v>
      </c>
      <c r="D23" s="209">
        <f>'Collection - Downtown'!P22</f>
        <v>10250</v>
      </c>
      <c r="E23" s="204"/>
      <c r="F23" s="205"/>
      <c r="G23" s="204"/>
      <c r="H23" s="204"/>
      <c r="I23" s="205"/>
      <c r="J23" s="204"/>
      <c r="K23" s="204"/>
      <c r="L23" s="205"/>
      <c r="M23" s="204"/>
      <c r="N23" s="204"/>
      <c r="O23" s="481">
        <f>F21</f>
        <v>349</v>
      </c>
      <c r="P23" s="204">
        <f t="shared" si="3"/>
        <v>3577250</v>
      </c>
      <c r="Q23" s="204"/>
      <c r="R23" s="205"/>
      <c r="S23" s="204"/>
      <c r="T23" s="204"/>
      <c r="U23" s="205"/>
      <c r="V23" s="204"/>
      <c r="X23" s="205"/>
      <c r="Y23" s="204"/>
      <c r="AA23" s="205"/>
      <c r="AB23" s="204"/>
      <c r="AD23" s="205"/>
      <c r="AE23" s="204"/>
      <c r="AG23" s="205"/>
      <c r="AH23" s="204"/>
      <c r="AK23" s="103">
        <f>75*75</f>
        <v>5625</v>
      </c>
      <c r="AL23" s="103">
        <f>AK23</f>
        <v>5625</v>
      </c>
      <c r="AM23" s="103">
        <f>AK23</f>
        <v>5625</v>
      </c>
      <c r="AN23" s="103">
        <f>AK23</f>
        <v>5625</v>
      </c>
    </row>
    <row r="24" spans="1:40" x14ac:dyDescent="0.2">
      <c r="B24" s="201" t="str">
        <f>'Collection - Downtown'!N17</f>
        <v>STEP - Private Property</v>
      </c>
      <c r="C24" s="202" t="str">
        <f>'Collection - Downtown'!O17</f>
        <v>Each</v>
      </c>
      <c r="D24" s="203">
        <f>'Collection - Downtown'!P17</f>
        <v>10750</v>
      </c>
      <c r="E24" s="204"/>
      <c r="F24" s="205"/>
      <c r="G24" s="204"/>
      <c r="H24" s="204"/>
      <c r="I24" s="205"/>
      <c r="J24" s="204"/>
      <c r="K24" s="204"/>
      <c r="L24" s="205"/>
      <c r="M24" s="204"/>
      <c r="N24" s="204"/>
      <c r="O24" s="205"/>
      <c r="P24" s="204"/>
      <c r="Q24" s="204"/>
      <c r="R24" s="481">
        <f>F21</f>
        <v>349</v>
      </c>
      <c r="S24" s="204">
        <f>R24*$D24+(R24*AN30)</f>
        <v>4537000</v>
      </c>
      <c r="T24" s="204"/>
      <c r="U24" s="205"/>
      <c r="V24" s="204"/>
      <c r="X24" s="205">
        <f>$U$22</f>
        <v>8</v>
      </c>
      <c r="Y24" s="204">
        <f t="shared" si="6"/>
        <v>86000</v>
      </c>
      <c r="AA24" s="205">
        <f>$X$24</f>
        <v>8</v>
      </c>
      <c r="AB24" s="204">
        <f>(AA24*$D24)+(AA24*AL30)</f>
        <v>92000</v>
      </c>
      <c r="AD24" s="205">
        <f>$X$24</f>
        <v>8</v>
      </c>
      <c r="AE24" s="204">
        <f>(AD24*$D24)+(AD24*AM30)</f>
        <v>97600</v>
      </c>
      <c r="AG24" s="205">
        <f>$X$24</f>
        <v>8</v>
      </c>
      <c r="AH24" s="204">
        <f>(AG24*$D24)+(AG24*AN30)</f>
        <v>104000</v>
      </c>
      <c r="AK24" s="103">
        <v>2500</v>
      </c>
      <c r="AL24" s="103">
        <f t="shared" ref="AL24:AL25" si="10">AK24</f>
        <v>2500</v>
      </c>
      <c r="AM24" s="103">
        <f t="shared" ref="AM24:AM25" si="11">AK24</f>
        <v>2500</v>
      </c>
      <c r="AN24" s="103">
        <f t="shared" ref="AN24:AN25" si="12">AK24</f>
        <v>2500</v>
      </c>
    </row>
    <row r="25" spans="1:40" x14ac:dyDescent="0.2">
      <c r="B25" s="201" t="str">
        <f>'Collection - Downtown'!N15</f>
        <v>STEG - Private Property</v>
      </c>
      <c r="C25" s="202" t="str">
        <f>'Collection - Downtown'!O15</f>
        <v>Each</v>
      </c>
      <c r="D25" s="203">
        <f>'Collection - Downtown'!P15</f>
        <v>7800</v>
      </c>
      <c r="E25" s="204"/>
      <c r="F25" s="205"/>
      <c r="G25" s="204"/>
      <c r="H25" s="204"/>
      <c r="I25" s="481">
        <f>F21</f>
        <v>349</v>
      </c>
      <c r="J25" s="204">
        <f>I25*$D25+(I25*AN30)</f>
        <v>3507450</v>
      </c>
      <c r="K25" s="204"/>
      <c r="L25" s="205"/>
      <c r="M25" s="204"/>
      <c r="N25" s="204"/>
      <c r="O25" s="205"/>
      <c r="P25" s="204"/>
      <c r="Q25" s="204"/>
      <c r="R25" s="205"/>
      <c r="S25" s="204"/>
      <c r="T25" s="204"/>
      <c r="U25" s="205"/>
      <c r="V25" s="204"/>
      <c r="X25" s="205"/>
      <c r="Y25" s="204"/>
      <c r="AA25" s="205"/>
      <c r="AB25" s="204"/>
      <c r="AD25" s="205"/>
      <c r="AE25" s="204"/>
      <c r="AG25" s="205"/>
      <c r="AH25" s="204"/>
      <c r="AK25" s="103">
        <v>2000</v>
      </c>
      <c r="AL25" s="103">
        <f t="shared" si="10"/>
        <v>2000</v>
      </c>
      <c r="AM25" s="103">
        <f t="shared" si="11"/>
        <v>2000</v>
      </c>
      <c r="AN25" s="103">
        <f t="shared" si="12"/>
        <v>2000</v>
      </c>
    </row>
    <row r="26" spans="1:40" x14ac:dyDescent="0.2">
      <c r="B26" s="210"/>
      <c r="AK26" s="103">
        <f>2500+1000</f>
        <v>3500</v>
      </c>
      <c r="AL26" s="103">
        <f>2500+2000</f>
        <v>4500</v>
      </c>
      <c r="AM26" s="103">
        <f>2500+3000</f>
        <v>5500</v>
      </c>
      <c r="AN26" s="103">
        <f>2500+4000</f>
        <v>6500</v>
      </c>
    </row>
    <row r="27" spans="1:40" s="103" customFormat="1" x14ac:dyDescent="0.2">
      <c r="A27" s="456"/>
      <c r="B27" s="456"/>
      <c r="C27" s="457" t="s">
        <v>3</v>
      </c>
      <c r="D27" s="458"/>
      <c r="G27" s="459">
        <f>SUM(G11:G25)</f>
        <v>11849700</v>
      </c>
      <c r="H27" s="456"/>
      <c r="I27" s="456"/>
      <c r="J27" s="459">
        <f>SUM(J11:J25)</f>
        <v>12634950</v>
      </c>
      <c r="M27" s="459">
        <f>SUM(M11:M25)</f>
        <v>8563000</v>
      </c>
      <c r="N27" s="456"/>
      <c r="O27" s="456"/>
      <c r="P27" s="459">
        <f>SUM(P11:P25)</f>
        <v>12722250</v>
      </c>
      <c r="S27" s="459">
        <f>SUM(S11:S25)</f>
        <v>8912000</v>
      </c>
      <c r="V27" s="459">
        <f>SUM(V11:V25)</f>
        <v>10815800</v>
      </c>
      <c r="Y27" s="459">
        <f>SUM(Y11:Y25)</f>
        <v>10805800</v>
      </c>
      <c r="AB27" s="459">
        <f>SUM(AB11:AB25)</f>
        <v>10811800</v>
      </c>
      <c r="AE27" s="459">
        <f>SUM(AE11:AE25)</f>
        <v>10817400</v>
      </c>
      <c r="AH27" s="459">
        <f>SUM(AH11:AH25)</f>
        <v>10823800</v>
      </c>
      <c r="AK27" s="460">
        <f>SUM(AK23:AK26)</f>
        <v>13625</v>
      </c>
      <c r="AL27" s="460">
        <f t="shared" ref="AL27:AN27" si="13">SUM(AL23:AL26)</f>
        <v>14625</v>
      </c>
      <c r="AM27" s="460">
        <f t="shared" si="13"/>
        <v>15625</v>
      </c>
      <c r="AN27" s="460">
        <f t="shared" si="13"/>
        <v>16625</v>
      </c>
    </row>
    <row r="28" spans="1:40" s="103" customFormat="1" x14ac:dyDescent="0.2">
      <c r="A28" s="456"/>
      <c r="B28" s="456"/>
      <c r="C28" s="457" t="s">
        <v>12</v>
      </c>
      <c r="D28" s="461">
        <v>0.05</v>
      </c>
      <c r="G28" s="111">
        <f>G27*$D$28</f>
        <v>592485</v>
      </c>
      <c r="H28" s="456"/>
      <c r="I28" s="456"/>
      <c r="J28" s="111">
        <f>J27*$D$28</f>
        <v>631747.5</v>
      </c>
      <c r="M28" s="111">
        <f>M27*$D$28</f>
        <v>428150</v>
      </c>
      <c r="N28" s="456"/>
      <c r="O28" s="456"/>
      <c r="P28" s="111">
        <f>P27*$D$28</f>
        <v>636112.5</v>
      </c>
      <c r="S28" s="111">
        <f>S27*$D$28</f>
        <v>445600</v>
      </c>
      <c r="V28" s="111">
        <f>V27*$D$28</f>
        <v>540790</v>
      </c>
      <c r="Y28" s="111">
        <f>Y27*$D$28</f>
        <v>540290</v>
      </c>
      <c r="AB28" s="111">
        <f>AB27*$D$28</f>
        <v>540590</v>
      </c>
      <c r="AE28" s="111">
        <f>AE27*$D$28</f>
        <v>540870</v>
      </c>
      <c r="AH28" s="111">
        <f>AH27*$D$28</f>
        <v>541190</v>
      </c>
      <c r="AK28" s="103">
        <f>AK27*0.78</f>
        <v>10627.5</v>
      </c>
      <c r="AL28" s="103">
        <f t="shared" ref="AL28:AN28" si="14">AL27*0.78</f>
        <v>11407.5</v>
      </c>
      <c r="AM28" s="103">
        <f t="shared" si="14"/>
        <v>12187.5</v>
      </c>
      <c r="AN28" s="103">
        <f t="shared" si="14"/>
        <v>12967.5</v>
      </c>
    </row>
    <row r="29" spans="1:40" s="103" customFormat="1" x14ac:dyDescent="0.2">
      <c r="A29" s="456"/>
      <c r="B29" s="456"/>
      <c r="C29" s="457" t="s">
        <v>3</v>
      </c>
      <c r="D29" s="461"/>
      <c r="G29" s="459">
        <f>SUM(G27:G28)</f>
        <v>12442185</v>
      </c>
      <c r="H29" s="456"/>
      <c r="I29" s="456"/>
      <c r="J29" s="459">
        <f>SUM(J27:J28)</f>
        <v>13266697.5</v>
      </c>
      <c r="M29" s="459">
        <f>SUM(M27:M28)</f>
        <v>8991150</v>
      </c>
      <c r="N29" s="456"/>
      <c r="O29" s="456"/>
      <c r="P29" s="459">
        <f>SUM(P27:P28)</f>
        <v>13358362.5</v>
      </c>
      <c r="S29" s="459">
        <f>SUM(S27:S28)</f>
        <v>9357600</v>
      </c>
      <c r="V29" s="459">
        <f>SUM(V27:V28)</f>
        <v>11356590</v>
      </c>
      <c r="Y29" s="459">
        <f>SUM(Y27:Y28)</f>
        <v>11346090</v>
      </c>
      <c r="AB29" s="459">
        <f>SUM(AB27:AB28)</f>
        <v>11352390</v>
      </c>
      <c r="AE29" s="459">
        <f>SUM(AE27:AE28)</f>
        <v>11358270</v>
      </c>
      <c r="AH29" s="459">
        <f>SUM(AH27:AH28)</f>
        <v>11364990</v>
      </c>
      <c r="AK29" s="103">
        <v>10750</v>
      </c>
      <c r="AL29" s="103">
        <v>11500</v>
      </c>
      <c r="AM29" s="103">
        <v>12200</v>
      </c>
      <c r="AN29" s="103">
        <v>13000</v>
      </c>
    </row>
    <row r="30" spans="1:40" s="103" customFormat="1" x14ac:dyDescent="0.2">
      <c r="A30" s="456"/>
      <c r="B30" s="456"/>
      <c r="C30" s="462" t="str">
        <f>Assumptions!$B$10</f>
        <v>Overhead and Profit</v>
      </c>
      <c r="D30" s="461">
        <f>Assumptions!$C$10</f>
        <v>0.22</v>
      </c>
      <c r="G30" s="101">
        <f>+MROUND(G29*$D30,100)</f>
        <v>2737300</v>
      </c>
      <c r="H30" s="456"/>
      <c r="I30" s="456"/>
      <c r="J30" s="101">
        <f>+MROUND(J29*$D30,100)</f>
        <v>2918700</v>
      </c>
      <c r="M30" s="101">
        <f>+MROUND(M29*$D30,100)</f>
        <v>1978100</v>
      </c>
      <c r="N30" s="443"/>
      <c r="O30" s="443"/>
      <c r="P30" s="101">
        <f>+MROUND(P29*$D30,100)</f>
        <v>2938800</v>
      </c>
      <c r="S30" s="101">
        <f>+MROUND(S29*$D30,100)</f>
        <v>2058700</v>
      </c>
      <c r="V30" s="101">
        <f>+MROUND(V29*$D30,100)</f>
        <v>2498400</v>
      </c>
      <c r="Y30" s="101">
        <f>+MROUND(Y29*$D30,100)</f>
        <v>2496100</v>
      </c>
      <c r="AB30" s="101">
        <f>+MROUND(AB29*$D30,100)</f>
        <v>2497500</v>
      </c>
      <c r="AE30" s="101">
        <f>+MROUND(AE29*$D30,100)</f>
        <v>2498800</v>
      </c>
      <c r="AH30" s="101">
        <f>+MROUND(AH29*$D30,100)</f>
        <v>2500300</v>
      </c>
      <c r="AL30" s="103">
        <f>AL29-$AK$29</f>
        <v>750</v>
      </c>
      <c r="AM30" s="103">
        <f t="shared" ref="AM30:AN30" si="15">AM29-$AK$29</f>
        <v>1450</v>
      </c>
      <c r="AN30" s="103">
        <f t="shared" si="15"/>
        <v>2250</v>
      </c>
    </row>
    <row r="31" spans="1:40" s="103" customFormat="1" x14ac:dyDescent="0.2">
      <c r="A31" s="456"/>
      <c r="B31" s="456"/>
      <c r="C31" s="462" t="s">
        <v>3</v>
      </c>
      <c r="D31" s="463"/>
      <c r="G31" s="26">
        <f>SUM(G29:G30)</f>
        <v>15179485</v>
      </c>
      <c r="H31" s="456"/>
      <c r="I31" s="456"/>
      <c r="J31" s="26">
        <f>SUM(J29:J30)</f>
        <v>16185397.5</v>
      </c>
      <c r="M31" s="26">
        <f>SUM(M29:M30)</f>
        <v>10969250</v>
      </c>
      <c r="N31" s="443"/>
      <c r="O31" s="443"/>
      <c r="P31" s="26">
        <f>SUM(P29:P30)</f>
        <v>16297162.5</v>
      </c>
      <c r="S31" s="26">
        <f>SUM(S29:S30)</f>
        <v>11416300</v>
      </c>
      <c r="V31" s="26">
        <f>SUM(V29:V30)</f>
        <v>13854990</v>
      </c>
      <c r="Y31" s="26">
        <f>SUM(Y29:Y30)</f>
        <v>13842190</v>
      </c>
      <c r="AB31" s="26">
        <f>SUM(AB29:AB30)</f>
        <v>13849890</v>
      </c>
      <c r="AE31" s="26">
        <f>SUM(AE29:AE30)</f>
        <v>13857070</v>
      </c>
      <c r="AH31" s="26">
        <f>SUM(AH29:AH30)</f>
        <v>13865290</v>
      </c>
    </row>
    <row r="32" spans="1:40" s="103" customFormat="1" x14ac:dyDescent="0.2">
      <c r="A32" s="456"/>
      <c r="B32" s="456"/>
      <c r="C32" s="462" t="str">
        <f>Assumptions!$B$11</f>
        <v>Contingency</v>
      </c>
      <c r="D32" s="464">
        <f>Assumptions!$C$11</f>
        <v>0.25</v>
      </c>
      <c r="G32" s="111">
        <f>+MROUND((G31)*$D32,100)</f>
        <v>3794900</v>
      </c>
      <c r="H32" s="456"/>
      <c r="I32" s="456"/>
      <c r="J32" s="111">
        <f>+MROUND((J31)*$D32,100)</f>
        <v>4046300</v>
      </c>
      <c r="M32" s="111">
        <f>+MROUND((M31)*$D32,100)</f>
        <v>2742300</v>
      </c>
      <c r="N32" s="210"/>
      <c r="O32" s="210"/>
      <c r="P32" s="111">
        <f>+MROUND((P31)*$D32,100)</f>
        <v>4074300</v>
      </c>
      <c r="S32" s="111">
        <f>+MROUND((S31)*$D32,100)</f>
        <v>2854100</v>
      </c>
      <c r="V32" s="111">
        <f>+MROUND((V31)*$D32,100)</f>
        <v>3463700</v>
      </c>
      <c r="Y32" s="111">
        <f>+MROUND((Y31)*$D32,100)</f>
        <v>3460500</v>
      </c>
      <c r="AB32" s="111">
        <f>+MROUND((AB31)*$D32,100)</f>
        <v>3462500</v>
      </c>
      <c r="AE32" s="111">
        <f>+MROUND((AE31)*$D32,100)</f>
        <v>3464300</v>
      </c>
      <c r="AH32" s="111">
        <f>+MROUND((AH31)*$D32,100)</f>
        <v>3466300</v>
      </c>
    </row>
    <row r="33" spans="1:34" s="103" customFormat="1" x14ac:dyDescent="0.2">
      <c r="A33" s="456"/>
      <c r="B33" s="456"/>
      <c r="C33" s="462" t="s">
        <v>36</v>
      </c>
      <c r="D33" s="464"/>
      <c r="G33" s="459">
        <f>SUM(G31:G32)</f>
        <v>18974385</v>
      </c>
      <c r="H33" s="456"/>
      <c r="I33" s="456"/>
      <c r="J33" s="459">
        <f>SUM(J31:J32)</f>
        <v>20231697.5</v>
      </c>
      <c r="M33" s="459">
        <f>SUM(M31:M32)</f>
        <v>13711550</v>
      </c>
      <c r="N33" s="210"/>
      <c r="O33" s="210"/>
      <c r="P33" s="459">
        <f>SUM(P31:P32)</f>
        <v>20371462.5</v>
      </c>
      <c r="S33" s="459">
        <f>SUM(S31:S32)</f>
        <v>14270400</v>
      </c>
      <c r="V33" s="459">
        <f>SUM(V31:V32)</f>
        <v>17318690</v>
      </c>
      <c r="Y33" s="459">
        <f>SUM(Y31:Y32)</f>
        <v>17302690</v>
      </c>
      <c r="AB33" s="459">
        <f>SUM(AB31:AB32)</f>
        <v>17312390</v>
      </c>
      <c r="AE33" s="459">
        <f>SUM(AE31:AE32)</f>
        <v>17321370</v>
      </c>
      <c r="AH33" s="459">
        <f>SUM(AH31:AH32)</f>
        <v>17331590</v>
      </c>
    </row>
    <row r="34" spans="1:34" s="103" customFormat="1" x14ac:dyDescent="0.2">
      <c r="A34" s="456"/>
      <c r="B34" s="456"/>
      <c r="C34" s="462" t="str">
        <f>Assumptions!$B$12</f>
        <v>Town Administration and Engineering</v>
      </c>
      <c r="D34" s="464"/>
      <c r="G34" s="111"/>
      <c r="H34" s="456"/>
      <c r="I34" s="456"/>
      <c r="J34" s="111"/>
      <c r="M34" s="111"/>
      <c r="N34" s="210"/>
      <c r="O34" s="210"/>
      <c r="P34" s="111"/>
      <c r="S34" s="111"/>
      <c r="V34" s="111"/>
      <c r="Y34" s="111"/>
      <c r="AB34" s="111"/>
      <c r="AE34" s="111"/>
      <c r="AH34" s="111"/>
    </row>
    <row r="35" spans="1:34" s="103" customFormat="1" x14ac:dyDescent="0.2">
      <c r="A35" s="456"/>
      <c r="B35" s="456"/>
      <c r="C35" s="462" t="str">
        <f>Assumptions!$B$13</f>
        <v>Town Administration</v>
      </c>
      <c r="D35" s="464">
        <f>Assumptions!$C$13</f>
        <v>0.05</v>
      </c>
      <c r="G35" s="111">
        <f>+MROUND($D35*G$33,100)+((F17+F18+F19+F20)*$D$65)</f>
        <v>2148700</v>
      </c>
      <c r="H35" s="456"/>
      <c r="I35" s="456"/>
      <c r="J35" s="111">
        <f>+MROUND($D35*J$33,100)+((I17+I18+I19+I20)*$D$65)</f>
        <v>2211600</v>
      </c>
      <c r="M35" s="111">
        <f>+MROUND($D35*M$33,100)+((L17+L18+L19+L20)*$D$65)</f>
        <v>885600</v>
      </c>
      <c r="N35" s="210"/>
      <c r="O35" s="210"/>
      <c r="P35" s="111">
        <f>+MROUND($D35*P$33,100)+((O17+O18+O19+O20)*$D$65)</f>
        <v>1818600</v>
      </c>
      <c r="S35" s="111">
        <f>+MROUND($D35*S$33,100)+((R17+R18+R19+R20)*$D$65)</f>
        <v>913500</v>
      </c>
      <c r="V35" s="111">
        <f>+MROUND($D35*V$33,100)+((U17+U18+U19+U20)*$D$65)</f>
        <v>1665900</v>
      </c>
      <c r="Y35" s="111">
        <f>+MROUND($D35*Y$33,100)+((X17+X18+X19+X20)*$D$65)</f>
        <v>1665100</v>
      </c>
      <c r="AB35" s="111">
        <f>+MROUND($D35*AB$33,100)+((AA17+AA18+AA19+AA20)*$D$65)</f>
        <v>1665600</v>
      </c>
      <c r="AE35" s="111">
        <f>+MROUND($D35*AE$33,100)+((AD17+AD18+AD19+AD20)*$D$65)</f>
        <v>1666100</v>
      </c>
      <c r="AH35" s="111">
        <f>+MROUND($D35*AH$33,100)+((AG17+AG18+AG19+AG20)*$D$65)</f>
        <v>1666600</v>
      </c>
    </row>
    <row r="36" spans="1:34" s="103" customFormat="1" x14ac:dyDescent="0.2">
      <c r="A36" s="456"/>
      <c r="B36" s="456"/>
      <c r="C36" s="462" t="str">
        <f>Assumptions!$B$14</f>
        <v>Engineering - Planning/Consultation</v>
      </c>
      <c r="D36" s="464">
        <f>Assumptions!$C$14</f>
        <v>0.05</v>
      </c>
      <c r="G36" s="111">
        <f>+MROUND($D36*G$33,100)</f>
        <v>948700</v>
      </c>
      <c r="H36" s="456"/>
      <c r="I36" s="456"/>
      <c r="J36" s="111">
        <f t="shared" ref="J36:J38" si="16">+MROUND($D36*J$33,100)</f>
        <v>1011600</v>
      </c>
      <c r="M36" s="111">
        <f t="shared" ref="M36:M38" si="17">+MROUND($D36*M$33,100)</f>
        <v>685600</v>
      </c>
      <c r="N36" s="210"/>
      <c r="O36" s="210"/>
      <c r="P36" s="111">
        <f t="shared" ref="P36:P38" si="18">+MROUND($D36*P$33,100)</f>
        <v>1018600</v>
      </c>
      <c r="S36" s="111">
        <f t="shared" ref="S36:S38" si="19">+MROUND($D36*S$33,100)</f>
        <v>713500</v>
      </c>
      <c r="V36" s="111">
        <f t="shared" ref="V36:V38" si="20">+MROUND($D36*V$33,100)</f>
        <v>865900</v>
      </c>
      <c r="Y36" s="111">
        <f t="shared" ref="Y36:Y38" si="21">+MROUND($D36*Y$33,100)</f>
        <v>865100</v>
      </c>
      <c r="AB36" s="111">
        <f t="shared" ref="AB36:AB38" si="22">+MROUND($D36*AB$33,100)</f>
        <v>865600</v>
      </c>
      <c r="AE36" s="111">
        <f t="shared" ref="AE36:AE38" si="23">+MROUND($D36*AE$33,100)</f>
        <v>866100</v>
      </c>
      <c r="AH36" s="111">
        <f t="shared" ref="AH36:AH38" si="24">+MROUND($D36*AH$33,100)</f>
        <v>866600</v>
      </c>
    </row>
    <row r="37" spans="1:34" s="103" customFormat="1" x14ac:dyDescent="0.2">
      <c r="A37" s="456"/>
      <c r="B37" s="456"/>
      <c r="C37" s="462" t="str">
        <f>Assumptions!$B$15</f>
        <v>Engineering - Design</v>
      </c>
      <c r="D37" s="464">
        <f>Assumptions!$C$15</f>
        <v>0.1</v>
      </c>
      <c r="G37" s="111">
        <f>+MROUND($D37*G$33,100)</f>
        <v>1897400</v>
      </c>
      <c r="H37" s="456"/>
      <c r="I37" s="456"/>
      <c r="J37" s="111">
        <f t="shared" si="16"/>
        <v>2023200</v>
      </c>
      <c r="M37" s="111">
        <f t="shared" si="17"/>
        <v>1371200</v>
      </c>
      <c r="N37" s="210"/>
      <c r="O37" s="210"/>
      <c r="P37" s="111">
        <f t="shared" si="18"/>
        <v>2037100</v>
      </c>
      <c r="S37" s="111">
        <f t="shared" si="19"/>
        <v>1427000</v>
      </c>
      <c r="V37" s="111">
        <f t="shared" si="20"/>
        <v>1731900</v>
      </c>
      <c r="Y37" s="111">
        <f t="shared" si="21"/>
        <v>1730300</v>
      </c>
      <c r="AB37" s="111">
        <f t="shared" si="22"/>
        <v>1731200</v>
      </c>
      <c r="AE37" s="111">
        <f t="shared" si="23"/>
        <v>1732100</v>
      </c>
      <c r="AH37" s="111">
        <f t="shared" si="24"/>
        <v>1733200</v>
      </c>
    </row>
    <row r="38" spans="1:34" s="103" customFormat="1" x14ac:dyDescent="0.2">
      <c r="A38" s="456"/>
      <c r="B38" s="456"/>
      <c r="C38" s="462" t="str">
        <f>Assumptions!$B$16</f>
        <v>Engineering - Construction</v>
      </c>
      <c r="D38" s="464">
        <f>Assumptions!$C$16</f>
        <v>0.15</v>
      </c>
      <c r="G38" s="111">
        <f>+MROUND($D38*G$33,100)</f>
        <v>2846200</v>
      </c>
      <c r="H38" s="456"/>
      <c r="I38" s="456"/>
      <c r="J38" s="111">
        <f t="shared" si="16"/>
        <v>3034800</v>
      </c>
      <c r="M38" s="111">
        <f t="shared" si="17"/>
        <v>2056700</v>
      </c>
      <c r="N38" s="210"/>
      <c r="O38" s="210"/>
      <c r="P38" s="111">
        <f t="shared" si="18"/>
        <v>3055700</v>
      </c>
      <c r="S38" s="111">
        <f t="shared" si="19"/>
        <v>2140600</v>
      </c>
      <c r="V38" s="111">
        <f t="shared" si="20"/>
        <v>2597800</v>
      </c>
      <c r="Y38" s="111">
        <f t="shared" si="21"/>
        <v>2595400</v>
      </c>
      <c r="AB38" s="111">
        <f t="shared" si="22"/>
        <v>2596900</v>
      </c>
      <c r="AE38" s="111">
        <f t="shared" si="23"/>
        <v>2598200</v>
      </c>
      <c r="AH38" s="111">
        <f t="shared" si="24"/>
        <v>2599700</v>
      </c>
    </row>
    <row r="39" spans="1:34" s="103" customFormat="1" x14ac:dyDescent="0.2">
      <c r="A39" s="456"/>
      <c r="B39" s="465"/>
      <c r="C39" s="466" t="s">
        <v>19</v>
      </c>
      <c r="D39" s="458"/>
      <c r="G39" s="467">
        <f>SUM(G33:G38)</f>
        <v>26815385</v>
      </c>
      <c r="H39" s="456"/>
      <c r="I39" s="456"/>
      <c r="J39" s="467">
        <f>SUM(J33:J38)</f>
        <v>28512897.5</v>
      </c>
      <c r="M39" s="467">
        <f>SUM(M33:M38)</f>
        <v>18710650</v>
      </c>
      <c r="N39" s="210"/>
      <c r="O39" s="210"/>
      <c r="P39" s="467">
        <f>SUM(P33:P38)</f>
        <v>28301462.5</v>
      </c>
      <c r="S39" s="467">
        <f>SUM(S33:S38)</f>
        <v>19465000</v>
      </c>
      <c r="V39" s="467">
        <f>SUM(V33:V38)</f>
        <v>24180190</v>
      </c>
      <c r="Y39" s="467">
        <f>SUM(Y33:Y38)</f>
        <v>24158590</v>
      </c>
      <c r="AB39" s="467">
        <f>SUM(AB33:AB38)</f>
        <v>24171690</v>
      </c>
      <c r="AE39" s="467">
        <f>SUM(AE33:AE38)</f>
        <v>24183870</v>
      </c>
      <c r="AH39" s="467">
        <f>SUM(AH33:AH38)</f>
        <v>24197690</v>
      </c>
    </row>
    <row r="40" spans="1:34" x14ac:dyDescent="0.2">
      <c r="B40" s="453"/>
      <c r="C40" s="453"/>
      <c r="D40" s="452"/>
      <c r="E40" s="452"/>
      <c r="F40" s="452"/>
      <c r="G40" s="452"/>
      <c r="H40" s="452"/>
      <c r="I40" s="452"/>
      <c r="J40" s="452"/>
      <c r="K40" s="452"/>
      <c r="L40" s="452"/>
      <c r="M40" s="452"/>
      <c r="N40" s="452"/>
      <c r="O40" s="452"/>
      <c r="P40" s="452"/>
      <c r="Q40" s="452"/>
      <c r="R40" s="452"/>
      <c r="S40" s="452"/>
      <c r="T40" s="452"/>
      <c r="U40" s="452"/>
      <c r="V40" s="452"/>
      <c r="X40" s="452"/>
      <c r="Y40" s="452"/>
      <c r="AA40" s="452"/>
      <c r="AB40" s="452"/>
      <c r="AD40" s="452"/>
      <c r="AE40" s="452"/>
      <c r="AG40" s="452"/>
      <c r="AH40" s="452"/>
    </row>
    <row r="42" spans="1:34" x14ac:dyDescent="0.2">
      <c r="B42" s="443" t="s">
        <v>206</v>
      </c>
      <c r="D42" s="443"/>
      <c r="E42" s="443"/>
      <c r="F42" s="443"/>
      <c r="G42" s="443"/>
      <c r="H42" s="443"/>
      <c r="I42" s="443"/>
      <c r="J42" s="443"/>
      <c r="K42" s="443"/>
      <c r="L42" s="443"/>
      <c r="M42" s="443"/>
      <c r="N42" s="443"/>
      <c r="O42" s="443"/>
      <c r="P42" s="443"/>
      <c r="Q42" s="443"/>
      <c r="R42" s="443"/>
      <c r="S42" s="443"/>
      <c r="T42" s="443"/>
      <c r="U42" s="443"/>
      <c r="V42" s="443"/>
      <c r="X42" s="443"/>
      <c r="Y42" s="443"/>
      <c r="AA42" s="443"/>
      <c r="AB42" s="443"/>
      <c r="AD42" s="443"/>
      <c r="AE42" s="443"/>
      <c r="AG42" s="443"/>
      <c r="AH42" s="443"/>
    </row>
    <row r="43" spans="1:34" x14ac:dyDescent="0.2">
      <c r="B43" s="468" t="s">
        <v>161</v>
      </c>
      <c r="C43" s="208" t="s">
        <v>47</v>
      </c>
      <c r="D43" s="203">
        <v>65</v>
      </c>
      <c r="E43" s="443"/>
      <c r="F43" s="469">
        <f>2080+(260*(F17+F18+F19+F20))</f>
        <v>3640</v>
      </c>
      <c r="G43" s="203">
        <f>F43*$D$43</f>
        <v>236600</v>
      </c>
      <c r="H43" s="443"/>
      <c r="I43" s="469">
        <f>2080+(260*(I17+I18+I19+I20))</f>
        <v>3640</v>
      </c>
      <c r="J43" s="203">
        <f>I43*$D$43</f>
        <v>236600</v>
      </c>
      <c r="K43" s="443"/>
      <c r="L43" s="469">
        <f>2080+(260*(L17+L18+L19+L20))</f>
        <v>2340</v>
      </c>
      <c r="M43" s="203">
        <f>L43*$D$43</f>
        <v>152100</v>
      </c>
      <c r="N43" s="443"/>
      <c r="O43" s="469">
        <f>2080+(260*(O17+O18+O19+O20))</f>
        <v>3120</v>
      </c>
      <c r="P43" s="203">
        <f>O43*$D$43</f>
        <v>202800</v>
      </c>
      <c r="Q43" s="443"/>
      <c r="R43" s="469">
        <f>2080+(260*(R17+R18+R19+R20))</f>
        <v>2340</v>
      </c>
      <c r="S43" s="203">
        <f>R43*$D$43</f>
        <v>152100</v>
      </c>
      <c r="T43" s="443"/>
      <c r="U43" s="469">
        <f>2080+(260*(U17+U18+U19+U20))</f>
        <v>3120</v>
      </c>
      <c r="V43" s="203">
        <f>U43*$D$43</f>
        <v>202800</v>
      </c>
      <c r="X43" s="469">
        <f>2080+(260*(X17+X18+X19+X20))</f>
        <v>3120</v>
      </c>
      <c r="Y43" s="203">
        <f>X43*$D$43</f>
        <v>202800</v>
      </c>
      <c r="AA43" s="469">
        <f>2080+(260*(AA17+AA18+AA19+AA20))</f>
        <v>3120</v>
      </c>
      <c r="AB43" s="203">
        <f>AA43*$D$43</f>
        <v>202800</v>
      </c>
      <c r="AD43" s="469">
        <f>2080+(260*(AD17+AD18+AD19+AD20))</f>
        <v>3120</v>
      </c>
      <c r="AE43" s="203">
        <f>AD43*$D$43</f>
        <v>202800</v>
      </c>
      <c r="AG43" s="469">
        <f>2080+(260*(AG17+AG18+AG19+AG20))</f>
        <v>3120</v>
      </c>
      <c r="AH43" s="203">
        <f>AG43*$D$43</f>
        <v>202800</v>
      </c>
    </row>
    <row r="44" spans="1:34" x14ac:dyDescent="0.2">
      <c r="B44" s="468" t="s">
        <v>162</v>
      </c>
      <c r="C44" s="208" t="s">
        <v>56</v>
      </c>
      <c r="D44" s="203">
        <v>40000</v>
      </c>
      <c r="E44" s="443"/>
      <c r="F44" s="469">
        <f>F17+F18+F19+F20</f>
        <v>6</v>
      </c>
      <c r="G44" s="203">
        <f>F44*$D$44</f>
        <v>240000</v>
      </c>
      <c r="H44" s="443"/>
      <c r="I44" s="469">
        <f>I17+I18+I19+I20</f>
        <v>6</v>
      </c>
      <c r="J44" s="203">
        <f>I44*$D$44</f>
        <v>240000</v>
      </c>
      <c r="K44" s="443"/>
      <c r="L44" s="469">
        <f>L17+L18+L19+L20</f>
        <v>1</v>
      </c>
      <c r="M44" s="203">
        <f>L44*$D$44</f>
        <v>40000</v>
      </c>
      <c r="N44" s="443"/>
      <c r="O44" s="469">
        <f>O17+O18+O19+O20</f>
        <v>4</v>
      </c>
      <c r="P44" s="203">
        <f>O44*$D$44</f>
        <v>160000</v>
      </c>
      <c r="Q44" s="443"/>
      <c r="R44" s="469">
        <f>R17+R18+R19+R20</f>
        <v>1</v>
      </c>
      <c r="S44" s="203">
        <f>R44*$D$44</f>
        <v>40000</v>
      </c>
      <c r="T44" s="443"/>
      <c r="U44" s="469">
        <f>U17+U18+U19+U20</f>
        <v>4</v>
      </c>
      <c r="V44" s="203">
        <f>U44*$D$44</f>
        <v>160000</v>
      </c>
      <c r="X44" s="469">
        <f>X17+X18+X19+X20</f>
        <v>4</v>
      </c>
      <c r="Y44" s="203">
        <f>X44*$D$44</f>
        <v>160000</v>
      </c>
      <c r="AA44" s="469">
        <f>AA17+AA18+AA19+AA20</f>
        <v>4</v>
      </c>
      <c r="AB44" s="203">
        <f>AA44*$D$44</f>
        <v>160000</v>
      </c>
      <c r="AD44" s="469">
        <f>AD17+AD18+AD19+AD20</f>
        <v>4</v>
      </c>
      <c r="AE44" s="203">
        <f>AD44*$D$44</f>
        <v>160000</v>
      </c>
      <c r="AG44" s="469">
        <f>AG17+AG18+AG19+AG20</f>
        <v>4</v>
      </c>
      <c r="AH44" s="203">
        <f>AG44*$D$44</f>
        <v>160000</v>
      </c>
    </row>
    <row r="45" spans="1:34" x14ac:dyDescent="0.2">
      <c r="B45" s="468" t="s">
        <v>282</v>
      </c>
      <c r="C45" s="208" t="s">
        <v>21</v>
      </c>
      <c r="D45" s="203">
        <v>5</v>
      </c>
      <c r="E45" s="443"/>
      <c r="F45" s="470">
        <f>(F11+F16)*0.25</f>
        <v>8875</v>
      </c>
      <c r="G45" s="203">
        <f>F45*$D$45</f>
        <v>44375</v>
      </c>
      <c r="H45" s="443"/>
      <c r="I45" s="470">
        <f>(I11+I16)*0.25</f>
        <v>8875</v>
      </c>
      <c r="J45" s="203">
        <f>I45*$D$45</f>
        <v>44375</v>
      </c>
      <c r="K45" s="443"/>
      <c r="L45" s="470">
        <f>(L11+L16)*0.25</f>
        <v>0</v>
      </c>
      <c r="M45" s="203">
        <f>L45*$D$45</f>
        <v>0</v>
      </c>
      <c r="N45" s="443"/>
      <c r="O45" s="470">
        <f>(O11+O16)*0.25</f>
        <v>0</v>
      </c>
      <c r="P45" s="203">
        <f>O45*$D$45</f>
        <v>0</v>
      </c>
      <c r="Q45" s="443"/>
      <c r="R45" s="470">
        <f>(R11+R16)*0.25</f>
        <v>0</v>
      </c>
      <c r="S45" s="203">
        <f>R45*$D$45</f>
        <v>0</v>
      </c>
      <c r="T45" s="443"/>
      <c r="U45" s="470">
        <f>(U11+U16)*0.25</f>
        <v>8500</v>
      </c>
      <c r="V45" s="203">
        <f>U45*$D$45</f>
        <v>42500</v>
      </c>
      <c r="X45" s="470">
        <f>(X11+X16)*0.25</f>
        <v>8500</v>
      </c>
      <c r="Y45" s="203">
        <f>X45*$D$45</f>
        <v>42500</v>
      </c>
      <c r="AA45" s="470">
        <f>(AA11+AA16)*0.25</f>
        <v>8500</v>
      </c>
      <c r="AB45" s="203">
        <f>AA45*$D$45</f>
        <v>42500</v>
      </c>
      <c r="AD45" s="470">
        <f>(AD11+AD16)*0.25</f>
        <v>8500</v>
      </c>
      <c r="AE45" s="203">
        <f>AD45*$D$45</f>
        <v>42500</v>
      </c>
      <c r="AG45" s="470">
        <f>(AG11+AG16)*0.25</f>
        <v>8500</v>
      </c>
      <c r="AH45" s="203">
        <f>AG45*$D$45</f>
        <v>42500</v>
      </c>
    </row>
    <row r="46" spans="1:34" x14ac:dyDescent="0.2">
      <c r="B46" s="468" t="s">
        <v>283</v>
      </c>
      <c r="C46" s="208" t="s">
        <v>21</v>
      </c>
      <c r="D46" s="203">
        <v>2</v>
      </c>
      <c r="E46" s="443"/>
      <c r="F46" s="470">
        <f>F12+F13+F14+F15</f>
        <v>15000</v>
      </c>
      <c r="G46" s="203">
        <f>F46*$D$45</f>
        <v>75000</v>
      </c>
      <c r="H46" s="443"/>
      <c r="I46" s="470">
        <f>I12+I13+I14+I15</f>
        <v>15000</v>
      </c>
      <c r="J46" s="203">
        <f>I46*$D$45</f>
        <v>75000</v>
      </c>
      <c r="K46" s="443"/>
      <c r="L46" s="470">
        <f>L12+L13+L14+L15</f>
        <v>37500</v>
      </c>
      <c r="M46" s="203">
        <f>L46*$D$45</f>
        <v>187500</v>
      </c>
      <c r="N46" s="443"/>
      <c r="O46" s="470">
        <f>O12+O13+O14+O15</f>
        <v>50500</v>
      </c>
      <c r="P46" s="203">
        <f>O46*$D$45</f>
        <v>252500</v>
      </c>
      <c r="Q46" s="443"/>
      <c r="R46" s="470">
        <f>R12+R13+R14+R15</f>
        <v>37500</v>
      </c>
      <c r="S46" s="203">
        <f>R46*$D$45</f>
        <v>187500</v>
      </c>
      <c r="T46" s="443"/>
      <c r="U46" s="470">
        <f>U12+U13+U14+U15</f>
        <v>12500</v>
      </c>
      <c r="V46" s="203">
        <f>U46*$D$45</f>
        <v>62500</v>
      </c>
      <c r="X46" s="470">
        <f>X12+X13+X14+X15</f>
        <v>12500</v>
      </c>
      <c r="Y46" s="203">
        <f>X46*$D$45</f>
        <v>62500</v>
      </c>
      <c r="AA46" s="470">
        <f>AA12+AA13+AA14+AA15</f>
        <v>12500</v>
      </c>
      <c r="AB46" s="203">
        <f>AA46*$D$45</f>
        <v>62500</v>
      </c>
      <c r="AD46" s="470">
        <f>AD12+AD13+AD14+AD15</f>
        <v>12500</v>
      </c>
      <c r="AE46" s="203">
        <f>AD46*$D$45</f>
        <v>62500</v>
      </c>
      <c r="AG46" s="470">
        <f>AG12+AG13+AG14+AG15</f>
        <v>12500</v>
      </c>
      <c r="AH46" s="203">
        <f>AG46*$D$45</f>
        <v>62500</v>
      </c>
    </row>
    <row r="47" spans="1:34" x14ac:dyDescent="0.2">
      <c r="B47" s="468" t="s">
        <v>205</v>
      </c>
      <c r="C47" s="208" t="s">
        <v>56</v>
      </c>
      <c r="D47" s="203">
        <v>75</v>
      </c>
      <c r="E47" s="443"/>
      <c r="F47" s="470">
        <f>F22+F23+F24</f>
        <v>0</v>
      </c>
      <c r="G47" s="203">
        <f>F47*$D$47</f>
        <v>0</v>
      </c>
      <c r="H47" s="443"/>
      <c r="I47" s="470">
        <f>I22+I23+I24</f>
        <v>0</v>
      </c>
      <c r="J47" s="203">
        <f>I47*$D$47</f>
        <v>0</v>
      </c>
      <c r="K47" s="443"/>
      <c r="L47" s="470">
        <f>L22+L23+L24</f>
        <v>349</v>
      </c>
      <c r="M47" s="203">
        <f>L47*$D$47</f>
        <v>26175</v>
      </c>
      <c r="N47" s="443"/>
      <c r="O47" s="470">
        <f>O22+O23+O24</f>
        <v>349</v>
      </c>
      <c r="P47" s="203">
        <f>O47*$D$47</f>
        <v>26175</v>
      </c>
      <c r="Q47" s="443"/>
      <c r="R47" s="470">
        <f>R22+R23+R24</f>
        <v>349</v>
      </c>
      <c r="S47" s="203">
        <f>R47*$D$47</f>
        <v>26175</v>
      </c>
      <c r="T47" s="443"/>
      <c r="U47" s="470">
        <f>U22+U23+U24</f>
        <v>8</v>
      </c>
      <c r="V47" s="203">
        <f>U47*$D$47</f>
        <v>600</v>
      </c>
      <c r="X47" s="470">
        <f>X22+X23+X24</f>
        <v>8</v>
      </c>
      <c r="Y47" s="203">
        <f>X47*$D$47</f>
        <v>600</v>
      </c>
      <c r="AA47" s="470">
        <f>AA22+AA23+AA24</f>
        <v>8</v>
      </c>
      <c r="AB47" s="203">
        <f>AA47*$D$47</f>
        <v>600</v>
      </c>
      <c r="AD47" s="470">
        <f>AD22+AD23+AD24</f>
        <v>8</v>
      </c>
      <c r="AE47" s="203">
        <f>AD47*$D$47</f>
        <v>600</v>
      </c>
      <c r="AG47" s="470">
        <f>AG22+AG23+AG24</f>
        <v>8</v>
      </c>
      <c r="AH47" s="203">
        <f>AG47*$D$47</f>
        <v>600</v>
      </c>
    </row>
    <row r="48" spans="1:34" x14ac:dyDescent="0.2">
      <c r="B48" s="468" t="s">
        <v>211</v>
      </c>
      <c r="C48" s="208" t="s">
        <v>56</v>
      </c>
      <c r="D48" s="203">
        <v>100</v>
      </c>
      <c r="E48" s="443"/>
      <c r="F48" s="470">
        <f>F24+F25</f>
        <v>0</v>
      </c>
      <c r="G48" s="203">
        <f>F48*$D$48</f>
        <v>0</v>
      </c>
      <c r="H48" s="443"/>
      <c r="I48" s="470">
        <f>I24+I25</f>
        <v>349</v>
      </c>
      <c r="J48" s="203">
        <f>I48*$D$48</f>
        <v>34900</v>
      </c>
      <c r="K48" s="443"/>
      <c r="L48" s="470">
        <f>L24+L25</f>
        <v>0</v>
      </c>
      <c r="M48" s="203">
        <f>L48*$D$48</f>
        <v>0</v>
      </c>
      <c r="N48" s="443"/>
      <c r="O48" s="470">
        <f>O24+O25</f>
        <v>0</v>
      </c>
      <c r="P48" s="203">
        <f>O48*$D$48</f>
        <v>0</v>
      </c>
      <c r="Q48" s="443"/>
      <c r="R48" s="470">
        <f>R24+R25</f>
        <v>349</v>
      </c>
      <c r="S48" s="203">
        <f>R48*$D$48</f>
        <v>34900</v>
      </c>
      <c r="T48" s="443"/>
      <c r="U48" s="470">
        <f>U24+U25</f>
        <v>0</v>
      </c>
      <c r="V48" s="203">
        <f>U48*$D$48</f>
        <v>0</v>
      </c>
      <c r="X48" s="470">
        <f>X24+X25</f>
        <v>8</v>
      </c>
      <c r="Y48" s="203">
        <f>X48*$D$48</f>
        <v>800</v>
      </c>
      <c r="AA48" s="470">
        <f>AA24+AA25</f>
        <v>8</v>
      </c>
      <c r="AB48" s="203">
        <f>AA48*$D$48</f>
        <v>800</v>
      </c>
      <c r="AD48" s="470">
        <f>AD24+AD25</f>
        <v>8</v>
      </c>
      <c r="AE48" s="203">
        <f>AD48*$D$48</f>
        <v>800</v>
      </c>
      <c r="AG48" s="470">
        <f>AG24+AG25</f>
        <v>8</v>
      </c>
      <c r="AH48" s="203">
        <f>AG48*$D$48</f>
        <v>800</v>
      </c>
    </row>
    <row r="49" spans="2:34" x14ac:dyDescent="0.2">
      <c r="D49" s="443"/>
      <c r="E49" s="443"/>
      <c r="F49" s="443"/>
      <c r="G49" s="203"/>
      <c r="H49" s="443"/>
      <c r="I49" s="443"/>
      <c r="J49" s="203"/>
      <c r="K49" s="443"/>
      <c r="L49" s="443"/>
      <c r="M49" s="203"/>
      <c r="N49" s="443"/>
      <c r="O49" s="443"/>
      <c r="P49" s="203"/>
      <c r="Q49" s="443"/>
      <c r="R49" s="443"/>
      <c r="S49" s="203"/>
      <c r="T49" s="443"/>
      <c r="U49" s="443"/>
      <c r="V49" s="203"/>
      <c r="X49" s="443"/>
      <c r="Y49" s="203"/>
      <c r="AA49" s="443"/>
      <c r="AB49" s="203"/>
      <c r="AD49" s="443"/>
      <c r="AE49" s="203"/>
      <c r="AG49" s="443"/>
      <c r="AH49" s="203"/>
    </row>
    <row r="50" spans="2:34" x14ac:dyDescent="0.2">
      <c r="B50" s="443" t="s">
        <v>208</v>
      </c>
      <c r="D50" s="443"/>
      <c r="E50" s="443"/>
      <c r="F50" s="443"/>
      <c r="G50" s="203"/>
      <c r="H50" s="443"/>
      <c r="I50" s="443"/>
      <c r="J50" s="203"/>
      <c r="K50" s="443"/>
      <c r="L50" s="443"/>
      <c r="M50" s="203"/>
      <c r="N50" s="443"/>
      <c r="O50" s="443"/>
      <c r="P50" s="203"/>
      <c r="Q50" s="443"/>
      <c r="R50" s="443"/>
      <c r="S50" s="203"/>
      <c r="T50" s="443"/>
      <c r="U50" s="443"/>
      <c r="V50" s="203"/>
      <c r="X50" s="443"/>
      <c r="Y50" s="203"/>
      <c r="AA50" s="443"/>
      <c r="AB50" s="203"/>
      <c r="AD50" s="443"/>
      <c r="AE50" s="203"/>
      <c r="AG50" s="443"/>
      <c r="AH50" s="203"/>
    </row>
    <row r="51" spans="2:34" x14ac:dyDescent="0.2">
      <c r="B51" s="468" t="s">
        <v>236</v>
      </c>
      <c r="C51" s="208" t="s">
        <v>56</v>
      </c>
      <c r="D51" s="203">
        <f>(((D17+D18+D19+D20)*(1+D30))*(1+D32))*0.01</f>
        <v>33397.5</v>
      </c>
      <c r="E51" s="443"/>
      <c r="F51" s="471">
        <f>F17+F18+F19+F20</f>
        <v>6</v>
      </c>
      <c r="G51" s="203">
        <f>F51*$D$51</f>
        <v>200385</v>
      </c>
      <c r="H51" s="443"/>
      <c r="I51" s="471">
        <f>I17+I18+I19+I20</f>
        <v>6</v>
      </c>
      <c r="J51" s="203">
        <f>I51*$D$51</f>
        <v>200385</v>
      </c>
      <c r="K51" s="443"/>
      <c r="L51" s="471">
        <f>L17+L18+L19+L20</f>
        <v>1</v>
      </c>
      <c r="M51" s="203">
        <f>L51*$D$51</f>
        <v>33397.5</v>
      </c>
      <c r="N51" s="443"/>
      <c r="O51" s="471">
        <f>O17+O18+O19+O20</f>
        <v>4</v>
      </c>
      <c r="P51" s="203">
        <f>O51*$D$51</f>
        <v>133590</v>
      </c>
      <c r="Q51" s="443"/>
      <c r="R51" s="471">
        <f>R17+R18+R19+R20</f>
        <v>1</v>
      </c>
      <c r="S51" s="203">
        <f>R51*$D$51</f>
        <v>33397.5</v>
      </c>
      <c r="T51" s="443"/>
      <c r="U51" s="471">
        <f>U17+U18+U19+U20</f>
        <v>4</v>
      </c>
      <c r="V51" s="203">
        <f>U51*$D$51</f>
        <v>133590</v>
      </c>
      <c r="X51" s="471">
        <f>X17+X18+X19+X20</f>
        <v>4</v>
      </c>
      <c r="Y51" s="203">
        <f>X51*$D$51</f>
        <v>133590</v>
      </c>
      <c r="AA51" s="471">
        <f>AA17+AA18+AA19+AA20</f>
        <v>4</v>
      </c>
      <c r="AB51" s="203">
        <f>AA51*$D$51</f>
        <v>133590</v>
      </c>
      <c r="AD51" s="471">
        <f>AD17+AD18+AD19+AD20</f>
        <v>4</v>
      </c>
      <c r="AE51" s="203">
        <f>AD51*$D$51</f>
        <v>133590</v>
      </c>
      <c r="AG51" s="471">
        <f>AG17+AG18+AG19+AG20</f>
        <v>4</v>
      </c>
      <c r="AH51" s="203">
        <f>AG51*$D$51</f>
        <v>133590</v>
      </c>
    </row>
    <row r="52" spans="2:34" x14ac:dyDescent="0.2">
      <c r="B52" s="468" t="s">
        <v>205</v>
      </c>
      <c r="C52" s="208" t="s">
        <v>56</v>
      </c>
      <c r="D52" s="203">
        <v>2500</v>
      </c>
      <c r="E52" s="443"/>
      <c r="F52" s="470">
        <f>(F22+F23+F24)*0.05</f>
        <v>0</v>
      </c>
      <c r="G52" s="203">
        <f>F52*$D$52</f>
        <v>0</v>
      </c>
      <c r="H52" s="443"/>
      <c r="I52" s="470">
        <f>(I22+I23+I24)*0.05</f>
        <v>0</v>
      </c>
      <c r="J52" s="203">
        <f>I52*$D$52</f>
        <v>0</v>
      </c>
      <c r="K52" s="443"/>
      <c r="L52" s="470">
        <f>(L22+L23+L24)*0.05</f>
        <v>17.45</v>
      </c>
      <c r="M52" s="203">
        <f>L52*$D$52</f>
        <v>43625</v>
      </c>
      <c r="N52" s="443"/>
      <c r="O52" s="470">
        <f>(O22+O23+O24)*0.05</f>
        <v>17.45</v>
      </c>
      <c r="P52" s="203">
        <f>O52*$D$52</f>
        <v>43625</v>
      </c>
      <c r="Q52" s="443"/>
      <c r="R52" s="470">
        <f>(R22+R23+R24)*0.05</f>
        <v>17.45</v>
      </c>
      <c r="S52" s="203">
        <f>R52*$D$52</f>
        <v>43625</v>
      </c>
      <c r="T52" s="443"/>
      <c r="U52" s="470">
        <f>(U22+U23+U24)*0.05</f>
        <v>0.4</v>
      </c>
      <c r="V52" s="203">
        <f>U52*$D$52</f>
        <v>1000</v>
      </c>
      <c r="X52" s="470">
        <f>(X22+X23+X24)*0.05</f>
        <v>0.4</v>
      </c>
      <c r="Y52" s="203">
        <f>X52*$D$52</f>
        <v>1000</v>
      </c>
      <c r="AA52" s="470">
        <f>(AA22+AA23+AA24)*0.05</f>
        <v>0.4</v>
      </c>
      <c r="AB52" s="203">
        <f>AA52*$D$52</f>
        <v>1000</v>
      </c>
      <c r="AD52" s="470">
        <f>(AD22+AD23+AD24)*0.05</f>
        <v>0.4</v>
      </c>
      <c r="AE52" s="203">
        <f>AD52*$D$52</f>
        <v>1000</v>
      </c>
      <c r="AG52" s="470">
        <f>(AG22+AG23+AG24)*0.05</f>
        <v>0.4</v>
      </c>
      <c r="AH52" s="203">
        <f>AG52*$D$52</f>
        <v>1000</v>
      </c>
    </row>
    <row r="53" spans="2:34" x14ac:dyDescent="0.2">
      <c r="D53" s="443"/>
      <c r="E53" s="443"/>
      <c r="F53" s="443"/>
      <c r="G53" s="203"/>
      <c r="H53" s="443"/>
      <c r="I53" s="443"/>
      <c r="J53" s="203"/>
      <c r="K53" s="443"/>
      <c r="L53" s="443"/>
      <c r="M53" s="203"/>
      <c r="N53" s="443"/>
      <c r="O53" s="443"/>
      <c r="P53" s="203"/>
      <c r="Q53" s="443"/>
      <c r="R53" s="443"/>
      <c r="S53" s="203"/>
      <c r="T53" s="443"/>
      <c r="U53" s="443"/>
      <c r="V53" s="203"/>
      <c r="X53" s="443"/>
      <c r="Y53" s="203"/>
      <c r="AA53" s="443"/>
      <c r="AB53" s="203"/>
      <c r="AD53" s="443"/>
      <c r="AE53" s="203"/>
      <c r="AG53" s="443"/>
      <c r="AH53" s="203"/>
    </row>
    <row r="54" spans="2:34" x14ac:dyDescent="0.2">
      <c r="B54" s="443" t="s">
        <v>207</v>
      </c>
      <c r="D54" s="443"/>
      <c r="E54" s="443"/>
      <c r="F54" s="443"/>
      <c r="G54" s="203"/>
      <c r="H54" s="443"/>
      <c r="I54" s="443"/>
      <c r="J54" s="203"/>
      <c r="K54" s="443"/>
      <c r="L54" s="443"/>
      <c r="M54" s="203"/>
      <c r="N54" s="443"/>
      <c r="O54" s="443"/>
      <c r="P54" s="203"/>
      <c r="Q54" s="443"/>
      <c r="R54" s="443"/>
      <c r="S54" s="203"/>
      <c r="T54" s="443"/>
      <c r="U54" s="443"/>
      <c r="V54" s="203"/>
      <c r="X54" s="443"/>
      <c r="Y54" s="203"/>
      <c r="AA54" s="443"/>
      <c r="AB54" s="203"/>
      <c r="AD54" s="443"/>
      <c r="AE54" s="203"/>
      <c r="AG54" s="443"/>
      <c r="AH54" s="203"/>
    </row>
    <row r="55" spans="2:34" x14ac:dyDescent="0.2">
      <c r="B55" s="468" t="s">
        <v>33</v>
      </c>
      <c r="C55" s="208" t="s">
        <v>56</v>
      </c>
      <c r="D55" s="203">
        <v>2500</v>
      </c>
      <c r="E55" s="443"/>
      <c r="F55" s="470">
        <f>F17+F18+F19+F20</f>
        <v>6</v>
      </c>
      <c r="G55" s="203">
        <f>F55*$D$55</f>
        <v>15000</v>
      </c>
      <c r="H55" s="443"/>
      <c r="I55" s="470">
        <f>I17+I18+I19+I20</f>
        <v>6</v>
      </c>
      <c r="J55" s="203">
        <f>I55*$D$55</f>
        <v>15000</v>
      </c>
      <c r="K55" s="443"/>
      <c r="L55" s="470">
        <f>L17+L18+L19+L20</f>
        <v>1</v>
      </c>
      <c r="M55" s="203">
        <f>L55*$D$55</f>
        <v>2500</v>
      </c>
      <c r="N55" s="443"/>
      <c r="O55" s="470">
        <f>O17+O18+O19+O20</f>
        <v>4</v>
      </c>
      <c r="P55" s="203">
        <f>O55*$D$55</f>
        <v>10000</v>
      </c>
      <c r="Q55" s="443"/>
      <c r="R55" s="470">
        <f>R17+R18+R19+R20</f>
        <v>1</v>
      </c>
      <c r="S55" s="203">
        <f>R55*$D$55</f>
        <v>2500</v>
      </c>
      <c r="T55" s="443"/>
      <c r="U55" s="470">
        <f>U17+U18+U19+U20</f>
        <v>4</v>
      </c>
      <c r="V55" s="203">
        <f>U55*$D$55</f>
        <v>10000</v>
      </c>
      <c r="X55" s="470">
        <f>X17+X18+X19+X20</f>
        <v>4</v>
      </c>
      <c r="Y55" s="203">
        <f>X55*$D$55</f>
        <v>10000</v>
      </c>
      <c r="AA55" s="470">
        <f>AA17+AA18+AA19+AA20</f>
        <v>4</v>
      </c>
      <c r="AB55" s="203">
        <f>AA55*$D$55</f>
        <v>10000</v>
      </c>
      <c r="AD55" s="470">
        <f>AD17+AD18+AD19+AD20</f>
        <v>4</v>
      </c>
      <c r="AE55" s="203">
        <f>AD55*$D$55</f>
        <v>10000</v>
      </c>
      <c r="AG55" s="470">
        <f>AG17+AG18+AG19+AG20</f>
        <v>4</v>
      </c>
      <c r="AH55" s="203">
        <f>AG55*$D$55</f>
        <v>10000</v>
      </c>
    </row>
    <row r="56" spans="2:34" x14ac:dyDescent="0.2">
      <c r="B56" s="468" t="s">
        <v>205</v>
      </c>
      <c r="C56" s="208" t="s">
        <v>56</v>
      </c>
      <c r="D56" s="203">
        <f>8*65</f>
        <v>520</v>
      </c>
      <c r="E56" s="443"/>
      <c r="F56" s="470">
        <f>F22+F23+F24</f>
        <v>0</v>
      </c>
      <c r="G56" s="203">
        <f>F56*$D$56</f>
        <v>0</v>
      </c>
      <c r="H56" s="443"/>
      <c r="I56" s="470">
        <f>I22+I23+I24</f>
        <v>0</v>
      </c>
      <c r="J56" s="203">
        <f>I56*$D$56</f>
        <v>0</v>
      </c>
      <c r="K56" s="443"/>
      <c r="L56" s="470">
        <f>L22+L23+L24</f>
        <v>349</v>
      </c>
      <c r="M56" s="203">
        <f>L56*$D$56</f>
        <v>181480</v>
      </c>
      <c r="N56" s="443"/>
      <c r="O56" s="470">
        <f>O22+O23+O24</f>
        <v>349</v>
      </c>
      <c r="P56" s="203">
        <f>O56*$D$56</f>
        <v>181480</v>
      </c>
      <c r="Q56" s="443"/>
      <c r="R56" s="470">
        <f>R22+R23+R24</f>
        <v>349</v>
      </c>
      <c r="S56" s="203">
        <f>R56*$D$56</f>
        <v>181480</v>
      </c>
      <c r="T56" s="443"/>
      <c r="U56" s="470">
        <f>U22+U23+U24</f>
        <v>8</v>
      </c>
      <c r="V56" s="203">
        <f>U56*$D$56</f>
        <v>4160</v>
      </c>
      <c r="X56" s="470">
        <f>X22+X23+X24</f>
        <v>8</v>
      </c>
      <c r="Y56" s="203">
        <f>X56*$D$56</f>
        <v>4160</v>
      </c>
      <c r="AA56" s="470">
        <f>AA22+AA23+AA24</f>
        <v>8</v>
      </c>
      <c r="AB56" s="203">
        <f>AA56*$D$56</f>
        <v>4160</v>
      </c>
      <c r="AD56" s="470">
        <f>AD22+AD23+AD24</f>
        <v>8</v>
      </c>
      <c r="AE56" s="203">
        <f>AD56*$D$56</f>
        <v>4160</v>
      </c>
      <c r="AG56" s="470">
        <f>AG22+AG23+AG24</f>
        <v>8</v>
      </c>
      <c r="AH56" s="203">
        <f>AG56*$D$56</f>
        <v>4160</v>
      </c>
    </row>
    <row r="57" spans="2:34" x14ac:dyDescent="0.2">
      <c r="C57" s="466" t="s">
        <v>209</v>
      </c>
      <c r="D57" s="443"/>
      <c r="E57" s="443"/>
      <c r="F57" s="443"/>
      <c r="G57" s="211">
        <f>SUM(G43:G56)</f>
        <v>811360</v>
      </c>
      <c r="H57" s="443"/>
      <c r="I57" s="443"/>
      <c r="J57" s="211">
        <f>SUM(J43:J56)</f>
        <v>846260</v>
      </c>
      <c r="K57" s="443"/>
      <c r="L57" s="443"/>
      <c r="M57" s="211">
        <f>SUM(M43:M56)</f>
        <v>666777.5</v>
      </c>
      <c r="N57" s="443"/>
      <c r="O57" s="443"/>
      <c r="P57" s="211">
        <f>SUM(P43:P56)</f>
        <v>1010170</v>
      </c>
      <c r="Q57" s="443"/>
      <c r="R57" s="443"/>
      <c r="S57" s="211">
        <f>SUM(S43:S56)</f>
        <v>701677.5</v>
      </c>
      <c r="T57" s="443"/>
      <c r="U57" s="443"/>
      <c r="V57" s="211">
        <f>SUM(V43:V56)</f>
        <v>617150</v>
      </c>
      <c r="X57" s="443"/>
      <c r="Y57" s="211">
        <f>SUM(Y43:Y56)</f>
        <v>617950</v>
      </c>
      <c r="AA57" s="443"/>
      <c r="AB57" s="211">
        <f>SUM(AB43:AB56)</f>
        <v>617950</v>
      </c>
      <c r="AD57" s="443"/>
      <c r="AE57" s="211">
        <f>SUM(AE43:AE56)</f>
        <v>617950</v>
      </c>
      <c r="AG57" s="443"/>
      <c r="AH57" s="211">
        <f>SUM(AH43:AH56)</f>
        <v>617950</v>
      </c>
    </row>
    <row r="59" spans="2:34" x14ac:dyDescent="0.2">
      <c r="C59" s="472" t="s">
        <v>210</v>
      </c>
      <c r="D59" s="443"/>
      <c r="E59" s="443"/>
      <c r="F59" s="443"/>
      <c r="G59" s="473" t="e">
        <f>(ROUND(G39,-3))+(-ROUND(PV($D$61,$D$62,G57,0),-3))</f>
        <v>#REF!</v>
      </c>
      <c r="H59" s="443"/>
      <c r="I59" s="443"/>
      <c r="J59" s="473" t="e">
        <f>(ROUND(J39,-3))+(-ROUND(PV($D$61,$D$62,J57,0),-3))</f>
        <v>#REF!</v>
      </c>
      <c r="K59" s="443"/>
      <c r="L59" s="443"/>
      <c r="M59" s="473" t="e">
        <f>(ROUND(M39,-3))+(-ROUND(PV($D$61,$D$62,M57,0),-3))</f>
        <v>#REF!</v>
      </c>
      <c r="N59" s="443"/>
      <c r="O59" s="443"/>
      <c r="P59" s="473" t="e">
        <f>(ROUND(P39,-3))+(-ROUND(PV($D$61,$D$62,P57,0),-3))</f>
        <v>#REF!</v>
      </c>
      <c r="Q59" s="443"/>
      <c r="R59" s="443"/>
      <c r="S59" s="473" t="e">
        <f>(ROUND(S39,-3))+(-ROUND(PV($D$61,$D$62,S57,0),-3))</f>
        <v>#REF!</v>
      </c>
      <c r="T59" s="443"/>
      <c r="U59" s="443"/>
      <c r="V59" s="473" t="e">
        <f>(ROUND(V39,-3))+(-ROUND(PV($D$61,$D$62,V57,0),-3))</f>
        <v>#REF!</v>
      </c>
      <c r="X59" s="443"/>
      <c r="Y59" s="473" t="e">
        <f>(ROUND(Y39,-3))+(-ROUND(PV($D$61,$D$62,Y57,0),-3))</f>
        <v>#REF!</v>
      </c>
      <c r="AA59" s="443"/>
      <c r="AB59" s="473" t="e">
        <f>(ROUND(AB39,-3))+(-ROUND(PV($D$61,$D$62,AB57,0),-3))</f>
        <v>#REF!</v>
      </c>
      <c r="AD59" s="443"/>
      <c r="AE59" s="473" t="e">
        <f>(ROUND(AE39,-3))+(-ROUND(PV($D$61,$D$62,AE57,0),-3))</f>
        <v>#REF!</v>
      </c>
      <c r="AG59" s="443"/>
      <c r="AH59" s="473" t="e">
        <f>(ROUND(AH39,-3))+(-ROUND(PV($D$61,$D$62,AH57,0),-3))</f>
        <v>#REF!</v>
      </c>
    </row>
    <row r="61" spans="2:34" x14ac:dyDescent="0.2">
      <c r="B61" s="200"/>
      <c r="C61" s="200" t="e">
        <f>#REF!</f>
        <v>#REF!</v>
      </c>
      <c r="D61" s="474" t="e">
        <f>#REF!</f>
        <v>#REF!</v>
      </c>
      <c r="E61" s="443"/>
      <c r="F61" s="200"/>
      <c r="G61" s="443"/>
      <c r="H61" s="443"/>
      <c r="I61" s="443"/>
      <c r="J61" s="443"/>
      <c r="K61" s="443"/>
      <c r="L61" s="443"/>
      <c r="M61" s="443"/>
      <c r="N61" s="443"/>
      <c r="O61" s="443"/>
      <c r="P61" s="443"/>
      <c r="Q61" s="443"/>
      <c r="R61" s="443"/>
      <c r="S61" s="443"/>
      <c r="T61" s="443"/>
      <c r="U61" s="443"/>
      <c r="V61" s="443" t="s">
        <v>242</v>
      </c>
      <c r="X61" s="443"/>
      <c r="Y61" s="475" t="e">
        <f>$V$59-Y59</f>
        <v>#REF!</v>
      </c>
      <c r="Z61" s="476"/>
      <c r="AA61" s="476"/>
      <c r="AB61" s="475" t="e">
        <f>$V$59-AB59</f>
        <v>#REF!</v>
      </c>
      <c r="AC61" s="476"/>
      <c r="AD61" s="476"/>
      <c r="AE61" s="475" t="e">
        <f>$V$59-AE59</f>
        <v>#REF!</v>
      </c>
      <c r="AF61" s="476"/>
      <c r="AG61" s="476"/>
      <c r="AH61" s="475" t="e">
        <f>$V$59-AH59</f>
        <v>#REF!</v>
      </c>
    </row>
    <row r="62" spans="2:34" x14ac:dyDescent="0.2">
      <c r="B62" s="200"/>
      <c r="C62" s="200" t="e">
        <f>#REF!</f>
        <v>#REF!</v>
      </c>
      <c r="D62" s="202" t="e">
        <f>#REF!</f>
        <v>#REF!</v>
      </c>
      <c r="F62" s="202"/>
    </row>
    <row r="63" spans="2:34" x14ac:dyDescent="0.2">
      <c r="B63" s="477"/>
      <c r="C63" s="477"/>
      <c r="D63" s="478"/>
      <c r="E63" s="452"/>
      <c r="F63" s="478"/>
      <c r="G63" s="452"/>
      <c r="H63" s="452"/>
      <c r="I63" s="452"/>
      <c r="J63" s="452"/>
      <c r="K63" s="452"/>
      <c r="L63" s="452"/>
      <c r="M63" s="452"/>
      <c r="N63" s="452"/>
      <c r="O63" s="452"/>
      <c r="P63" s="452"/>
      <c r="Q63" s="452"/>
      <c r="R63" s="452"/>
      <c r="S63" s="452"/>
      <c r="T63" s="452"/>
      <c r="U63" s="452"/>
      <c r="V63" s="452"/>
      <c r="W63" s="453"/>
      <c r="X63" s="452"/>
      <c r="Y63" s="452"/>
      <c r="Z63" s="453"/>
      <c r="AA63" s="452"/>
      <c r="AB63" s="452"/>
      <c r="AC63" s="453"/>
      <c r="AD63" s="452"/>
      <c r="AE63" s="452"/>
      <c r="AF63" s="453"/>
      <c r="AG63" s="452"/>
      <c r="AH63" s="452"/>
    </row>
    <row r="64" spans="2:34" x14ac:dyDescent="0.2">
      <c r="B64" s="200"/>
      <c r="C64" s="200"/>
      <c r="D64" s="202"/>
      <c r="F64" s="202"/>
    </row>
    <row r="65" spans="2:6" x14ac:dyDescent="0.2">
      <c r="B65" s="200"/>
      <c r="C65" s="479" t="s">
        <v>239</v>
      </c>
      <c r="D65" s="482">
        <v>200000</v>
      </c>
      <c r="F65" s="202"/>
    </row>
    <row r="66" spans="2:6" x14ac:dyDescent="0.2">
      <c r="B66" s="200"/>
      <c r="C66" s="200"/>
      <c r="D66" s="202"/>
      <c r="F66" s="202"/>
    </row>
    <row r="67" spans="2:6" x14ac:dyDescent="0.2">
      <c r="B67" s="200"/>
      <c r="C67" s="200"/>
      <c r="D67" s="202"/>
      <c r="F67" s="202"/>
    </row>
    <row r="68" spans="2:6" x14ac:dyDescent="0.2">
      <c r="B68" s="200"/>
      <c r="C68" s="200"/>
      <c r="D68" s="202"/>
      <c r="F68" s="202"/>
    </row>
    <row r="69" spans="2:6" x14ac:dyDescent="0.2">
      <c r="B69" s="200"/>
      <c r="C69" s="200"/>
      <c r="D69" s="202"/>
      <c r="F69" s="202"/>
    </row>
    <row r="91" spans="2:6" x14ac:dyDescent="0.2">
      <c r="B91" s="200"/>
      <c r="C91" s="200"/>
      <c r="D91" s="202"/>
      <c r="F91" s="202"/>
    </row>
    <row r="92" spans="2:6" x14ac:dyDescent="0.2">
      <c r="B92" s="200"/>
      <c r="C92" s="200"/>
      <c r="D92" s="202"/>
      <c r="F92" s="202"/>
    </row>
    <row r="93" spans="2:6" x14ac:dyDescent="0.2">
      <c r="B93" s="200"/>
      <c r="C93" s="200"/>
      <c r="D93" s="202"/>
      <c r="F93" s="202"/>
    </row>
    <row r="94" spans="2:6" x14ac:dyDescent="0.2">
      <c r="B94" s="200"/>
      <c r="C94" s="200"/>
      <c r="D94" s="202"/>
      <c r="F94" s="202"/>
    </row>
    <row r="95" spans="2:6" x14ac:dyDescent="0.2">
      <c r="B95" s="200"/>
      <c r="C95" s="200"/>
      <c r="D95" s="202"/>
      <c r="F95" s="202"/>
    </row>
    <row r="96" spans="2:6" x14ac:dyDescent="0.2">
      <c r="B96" s="200"/>
      <c r="C96" s="200"/>
      <c r="D96" s="202"/>
      <c r="F96" s="202"/>
    </row>
    <row r="97" spans="2:6" x14ac:dyDescent="0.2">
      <c r="B97" s="200"/>
      <c r="C97" s="200"/>
      <c r="D97" s="202"/>
      <c r="F97" s="202"/>
    </row>
    <row r="98" spans="2:6" x14ac:dyDescent="0.2">
      <c r="B98" s="200"/>
      <c r="C98" s="200"/>
      <c r="D98" s="202"/>
      <c r="F98" s="202"/>
    </row>
    <row r="99" spans="2:6" x14ac:dyDescent="0.2">
      <c r="B99" s="200"/>
      <c r="C99" s="200"/>
      <c r="D99" s="202"/>
      <c r="F99" s="202"/>
    </row>
    <row r="100" spans="2:6" x14ac:dyDescent="0.2">
      <c r="B100" s="200"/>
      <c r="C100" s="200"/>
      <c r="D100" s="202"/>
      <c r="F100" s="202"/>
    </row>
  </sheetData>
  <sheetProtection password="E40A" sheet="1" objects="1" scenarios="1"/>
  <mergeCells count="15">
    <mergeCell ref="C6:C8"/>
    <mergeCell ref="B6:B8"/>
    <mergeCell ref="D6:D8"/>
    <mergeCell ref="I7:J8"/>
    <mergeCell ref="L7:M8"/>
    <mergeCell ref="AG7:AH8"/>
    <mergeCell ref="U6:AH6"/>
    <mergeCell ref="F6:S6"/>
    <mergeCell ref="U7:V8"/>
    <mergeCell ref="X7:Y8"/>
    <mergeCell ref="O7:P8"/>
    <mergeCell ref="R7:S8"/>
    <mergeCell ref="F7:G8"/>
    <mergeCell ref="AA7:AB8"/>
    <mergeCell ref="AD7:AE8"/>
  </mergeCells>
  <printOptions horizontalCentered="1"/>
  <pageMargins left="0.7" right="0.7" top="0.75" bottom="0.75" header="0.3" footer="0.3"/>
  <pageSetup paperSize="17" scale="54" fitToHeight="0" orientation="landscape" r:id="rId1"/>
  <headerFooter>
    <oddFooter>&amp;LAECOM Technical Services, Inc.
Pocasset, MA&amp;RPage &amp;P of &amp;N
Revised: March 17,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59999389629810485"/>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222</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382550</v>
      </c>
      <c r="F9" s="64">
        <f>+MROUND(C9*E9,100)</f>
        <v>382600</v>
      </c>
      <c r="G9" s="77" t="str">
        <f>CONCATENATE(Assumptions!C9*100,"%"," ","of Other Items")</f>
        <v>5% of Other Items</v>
      </c>
      <c r="S9" s="147"/>
    </row>
    <row r="10" spans="2:19" ht="25.5" x14ac:dyDescent="0.2">
      <c r="B10" s="50" t="s">
        <v>419</v>
      </c>
      <c r="C10" s="51">
        <v>1</v>
      </c>
      <c r="D10" s="55" t="s">
        <v>34</v>
      </c>
      <c r="E10" s="56">
        <v>4500000</v>
      </c>
      <c r="F10" s="54">
        <f t="shared" ref="F10:F20" si="0">+MROUND(C10*E10,100)</f>
        <v>4500000</v>
      </c>
      <c r="G10" s="58" t="s">
        <v>420</v>
      </c>
      <c r="S10" s="147"/>
    </row>
    <row r="11" spans="2:19" x14ac:dyDescent="0.2">
      <c r="B11" s="50" t="s">
        <v>421</v>
      </c>
      <c r="C11" s="51">
        <v>1</v>
      </c>
      <c r="D11" s="55" t="s">
        <v>34</v>
      </c>
      <c r="E11" s="56">
        <v>250000</v>
      </c>
      <c r="F11" s="54">
        <f t="shared" si="0"/>
        <v>250000</v>
      </c>
      <c r="G11" s="99" t="s">
        <v>422</v>
      </c>
      <c r="S11" s="147"/>
    </row>
    <row r="12" spans="2:19" x14ac:dyDescent="0.2">
      <c r="B12" s="50" t="s">
        <v>423</v>
      </c>
      <c r="C12" s="51">
        <v>1</v>
      </c>
      <c r="D12" s="55" t="s">
        <v>34</v>
      </c>
      <c r="E12" s="56">
        <v>225000</v>
      </c>
      <c r="F12" s="54">
        <f t="shared" si="0"/>
        <v>225000</v>
      </c>
      <c r="G12" s="99"/>
      <c r="S12" s="147"/>
    </row>
    <row r="13" spans="2:19" x14ac:dyDescent="0.2">
      <c r="B13" s="50" t="s">
        <v>424</v>
      </c>
      <c r="C13" s="51">
        <v>1</v>
      </c>
      <c r="D13" s="55" t="s">
        <v>34</v>
      </c>
      <c r="E13" s="56">
        <v>1000000</v>
      </c>
      <c r="F13" s="54">
        <f t="shared" si="0"/>
        <v>1000000</v>
      </c>
      <c r="G13" s="99"/>
      <c r="S13" s="147"/>
    </row>
    <row r="14" spans="2:19" x14ac:dyDescent="0.2">
      <c r="B14" s="50" t="s">
        <v>425</v>
      </c>
      <c r="C14" s="51">
        <v>1</v>
      </c>
      <c r="D14" s="55" t="s">
        <v>34</v>
      </c>
      <c r="E14" s="56">
        <v>210000</v>
      </c>
      <c r="F14" s="54">
        <f t="shared" si="0"/>
        <v>210000</v>
      </c>
      <c r="G14" s="99" t="s">
        <v>426</v>
      </c>
      <c r="S14" s="147"/>
    </row>
    <row r="15" spans="2:19" x14ac:dyDescent="0.2">
      <c r="B15" s="50" t="s">
        <v>427</v>
      </c>
      <c r="C15" s="51">
        <v>1</v>
      </c>
      <c r="D15" s="55" t="s">
        <v>34</v>
      </c>
      <c r="E15" s="56">
        <v>150000</v>
      </c>
      <c r="F15" s="54">
        <f t="shared" si="0"/>
        <v>150000</v>
      </c>
      <c r="G15" s="99" t="s">
        <v>428</v>
      </c>
      <c r="S15" s="147"/>
    </row>
    <row r="16" spans="2:19" x14ac:dyDescent="0.2">
      <c r="B16" s="50" t="s">
        <v>429</v>
      </c>
      <c r="C16" s="51">
        <v>1</v>
      </c>
      <c r="D16" s="55" t="s">
        <v>34</v>
      </c>
      <c r="E16" s="119">
        <v>300000</v>
      </c>
      <c r="F16" s="54">
        <f t="shared" si="0"/>
        <v>300000</v>
      </c>
      <c r="G16" s="99" t="s">
        <v>11</v>
      </c>
      <c r="S16" s="147"/>
    </row>
    <row r="17" spans="2:19" x14ac:dyDescent="0.2">
      <c r="B17" s="50" t="s">
        <v>430</v>
      </c>
      <c r="C17" s="51">
        <v>1</v>
      </c>
      <c r="D17" s="55" t="s">
        <v>34</v>
      </c>
      <c r="E17" s="56">
        <v>133000</v>
      </c>
      <c r="F17" s="54">
        <f t="shared" si="0"/>
        <v>133000</v>
      </c>
      <c r="G17" s="99" t="s">
        <v>11</v>
      </c>
      <c r="S17" s="147"/>
    </row>
    <row r="18" spans="2:19" x14ac:dyDescent="0.2">
      <c r="B18" s="50" t="s">
        <v>431</v>
      </c>
      <c r="C18" s="51">
        <v>1</v>
      </c>
      <c r="D18" s="55" t="s">
        <v>34</v>
      </c>
      <c r="E18" s="56">
        <v>133000</v>
      </c>
      <c r="F18" s="54">
        <f t="shared" si="0"/>
        <v>133000</v>
      </c>
      <c r="G18" s="99" t="s">
        <v>11</v>
      </c>
      <c r="S18" s="147"/>
    </row>
    <row r="19" spans="2:19" x14ac:dyDescent="0.2">
      <c r="B19" s="50" t="s">
        <v>432</v>
      </c>
      <c r="C19" s="51">
        <v>1</v>
      </c>
      <c r="D19" s="55" t="s">
        <v>34</v>
      </c>
      <c r="E19" s="56">
        <v>500000</v>
      </c>
      <c r="F19" s="54">
        <f t="shared" si="0"/>
        <v>500000</v>
      </c>
      <c r="G19" s="99" t="s">
        <v>433</v>
      </c>
      <c r="S19" s="147"/>
    </row>
    <row r="20" spans="2:19" x14ac:dyDescent="0.2">
      <c r="B20" s="50" t="s">
        <v>434</v>
      </c>
      <c r="C20" s="51">
        <v>1</v>
      </c>
      <c r="D20" s="55" t="s">
        <v>34</v>
      </c>
      <c r="E20" s="56">
        <v>250000</v>
      </c>
      <c r="F20" s="54">
        <f t="shared" si="0"/>
        <v>250000</v>
      </c>
      <c r="G20" s="99" t="s">
        <v>11</v>
      </c>
      <c r="S20" s="147"/>
    </row>
    <row r="21" spans="2:19" x14ac:dyDescent="0.2">
      <c r="B21" s="50" t="s">
        <v>11</v>
      </c>
      <c r="C21" s="51">
        <v>0</v>
      </c>
      <c r="D21" s="55"/>
      <c r="E21" s="56">
        <v>0</v>
      </c>
      <c r="F21" s="54">
        <f t="shared" ref="F21:F22" si="1">+MROUND(C21*E21,100)</f>
        <v>0</v>
      </c>
      <c r="G21" s="99" t="s">
        <v>11</v>
      </c>
      <c r="S21" s="147"/>
    </row>
    <row r="22" spans="2:19" x14ac:dyDescent="0.2">
      <c r="B22" s="50" t="s">
        <v>11</v>
      </c>
      <c r="C22" s="51">
        <v>0</v>
      </c>
      <c r="D22" s="55"/>
      <c r="E22" s="56">
        <v>0</v>
      </c>
      <c r="F22" s="54">
        <f t="shared" si="1"/>
        <v>0</v>
      </c>
      <c r="G22" s="99" t="s">
        <v>11</v>
      </c>
      <c r="S22" s="147"/>
    </row>
    <row r="23" spans="2:19" x14ac:dyDescent="0.2">
      <c r="B23" s="50" t="s">
        <v>11</v>
      </c>
      <c r="C23" s="51">
        <v>0</v>
      </c>
      <c r="D23" s="55"/>
      <c r="E23" s="56">
        <v>0</v>
      </c>
      <c r="F23" s="54">
        <f t="shared" ref="F23" si="2">+MROUND(C23*E23,1000)</f>
        <v>0</v>
      </c>
      <c r="G23" s="99" t="s">
        <v>11</v>
      </c>
      <c r="S23" s="147"/>
    </row>
    <row r="24" spans="2:19" x14ac:dyDescent="0.2">
      <c r="B24" s="72"/>
      <c r="C24" s="63"/>
      <c r="D24" s="90" t="s">
        <v>3</v>
      </c>
      <c r="E24" s="68"/>
      <c r="F24" s="93">
        <f>+SUM(F9:F23)</f>
        <v>8033600</v>
      </c>
      <c r="G24" s="98"/>
    </row>
    <row r="25" spans="2:19" x14ac:dyDescent="0.2">
      <c r="B25" s="72"/>
      <c r="D25" s="91" t="str">
        <f>Assumptions!B10</f>
        <v>Overhead and Profit</v>
      </c>
      <c r="E25" s="95">
        <f>Assumptions!C10</f>
        <v>0.22</v>
      </c>
      <c r="F25" s="67">
        <f>+MROUND(F24*E25,100)</f>
        <v>1767400</v>
      </c>
      <c r="G25" s="77"/>
    </row>
    <row r="26" spans="2:19" x14ac:dyDescent="0.2">
      <c r="B26" s="72"/>
      <c r="D26" s="91" t="s">
        <v>3</v>
      </c>
      <c r="E26" s="66"/>
      <c r="F26" s="92">
        <f>F25+F24</f>
        <v>9801000</v>
      </c>
      <c r="G26" s="77"/>
    </row>
    <row r="27" spans="2:19" x14ac:dyDescent="0.2">
      <c r="B27" s="72"/>
      <c r="D27" s="91" t="str">
        <f>Assumptions!B11</f>
        <v>Contingency</v>
      </c>
      <c r="E27" s="96">
        <f>Assumptions!C11</f>
        <v>0.25</v>
      </c>
      <c r="F27" s="64">
        <f>+MROUND((F26)*E27,100)</f>
        <v>2450300</v>
      </c>
      <c r="G27" s="77"/>
    </row>
    <row r="28" spans="2:19" x14ac:dyDescent="0.2">
      <c r="B28" s="72"/>
      <c r="D28" s="91" t="s">
        <v>36</v>
      </c>
      <c r="E28" s="96"/>
      <c r="F28" s="93">
        <f>SUM(F26:F27)</f>
        <v>12251300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f>
        <v>612600</v>
      </c>
      <c r="G30" s="77"/>
    </row>
    <row r="31" spans="2:19" x14ac:dyDescent="0.2">
      <c r="B31" s="72"/>
      <c r="D31" s="91" t="str">
        <f>Assumptions!B14</f>
        <v>Engineering - Planning/Consultation</v>
      </c>
      <c r="E31" s="96">
        <f>Assumptions!C14</f>
        <v>0.05</v>
      </c>
      <c r="F31" s="64">
        <f t="shared" ref="F31:F33" si="3">+MROUND($F$28*E31,100)</f>
        <v>612600</v>
      </c>
      <c r="G31" s="77"/>
    </row>
    <row r="32" spans="2:19" x14ac:dyDescent="0.2">
      <c r="B32" s="72"/>
      <c r="D32" s="91" t="str">
        <f>Assumptions!B15</f>
        <v>Engineering - Design</v>
      </c>
      <c r="E32" s="96">
        <f>Assumptions!C15</f>
        <v>0.1</v>
      </c>
      <c r="F32" s="64">
        <f t="shared" si="3"/>
        <v>1225100</v>
      </c>
      <c r="G32" s="77"/>
    </row>
    <row r="33" spans="2:7" x14ac:dyDescent="0.2">
      <c r="B33" s="72"/>
      <c r="D33" s="91" t="str">
        <f>Assumptions!B16</f>
        <v>Engineering - Construction</v>
      </c>
      <c r="E33" s="96">
        <f>Assumptions!C16</f>
        <v>0.15</v>
      </c>
      <c r="F33" s="64">
        <f t="shared" si="3"/>
        <v>1837700</v>
      </c>
      <c r="G33" s="77"/>
    </row>
    <row r="34" spans="2:7" x14ac:dyDescent="0.2">
      <c r="B34" s="32"/>
      <c r="C34" s="63"/>
      <c r="D34" s="94" t="s">
        <v>19</v>
      </c>
      <c r="E34" s="68"/>
      <c r="F34" s="124">
        <f>SUM(F28:F33)</f>
        <v>16539300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Wastewater Treatment Facility - Downtown Area (Overland Way)</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161</v>
      </c>
      <c r="C45" s="51">
        <f>3.5*2080</f>
        <v>7280</v>
      </c>
      <c r="D45" s="55" t="s">
        <v>47</v>
      </c>
      <c r="E45" s="56">
        <v>65</v>
      </c>
      <c r="F45" s="54">
        <f t="shared" ref="F45:F51" si="4">+MROUND(C45*E45,100)</f>
        <v>473200</v>
      </c>
      <c r="G45" s="58" t="s">
        <v>435</v>
      </c>
    </row>
    <row r="46" spans="2:7" x14ac:dyDescent="0.2">
      <c r="B46" s="50" t="s">
        <v>436</v>
      </c>
      <c r="C46" s="51">
        <v>1</v>
      </c>
      <c r="D46" s="55" t="s">
        <v>34</v>
      </c>
      <c r="E46" s="56">
        <v>25000</v>
      </c>
      <c r="F46" s="54">
        <f t="shared" si="4"/>
        <v>25000</v>
      </c>
      <c r="G46" s="99" t="s">
        <v>437</v>
      </c>
    </row>
    <row r="47" spans="2:7" x14ac:dyDescent="0.2">
      <c r="B47" s="50" t="s">
        <v>438</v>
      </c>
      <c r="C47" s="51">
        <v>1</v>
      </c>
      <c r="D47" s="55" t="s">
        <v>34</v>
      </c>
      <c r="E47" s="56">
        <f>0.8*72000+85045*250/76*0.15</f>
        <v>99562.993421052641</v>
      </c>
      <c r="F47" s="54">
        <f t="shared" si="4"/>
        <v>99600</v>
      </c>
      <c r="G47" s="99" t="s">
        <v>11</v>
      </c>
    </row>
    <row r="48" spans="2:7" x14ac:dyDescent="0.2">
      <c r="B48" s="50" t="s">
        <v>439</v>
      </c>
      <c r="C48" s="51">
        <v>1</v>
      </c>
      <c r="D48" s="55" t="s">
        <v>34</v>
      </c>
      <c r="E48" s="56">
        <f>48000+166*15*2.69</f>
        <v>54698.1</v>
      </c>
      <c r="F48" s="54">
        <f t="shared" si="4"/>
        <v>54700</v>
      </c>
      <c r="G48" s="99" t="s">
        <v>440</v>
      </c>
    </row>
    <row r="49" spans="2:7" x14ac:dyDescent="0.2">
      <c r="B49" s="50" t="s">
        <v>441</v>
      </c>
      <c r="C49" s="51">
        <v>1</v>
      </c>
      <c r="D49" s="55" t="s">
        <v>34</v>
      </c>
      <c r="E49" s="56">
        <f>(250/76*291270*8.34*0.02/2000*375)+(250/76*291270*8.34*0.02/0.15/(62.4*0.7)/27/30*575)+41000</f>
        <v>88280.545153727435</v>
      </c>
      <c r="F49" s="54">
        <f t="shared" si="4"/>
        <v>88300</v>
      </c>
      <c r="G49" s="99" t="s">
        <v>11</v>
      </c>
    </row>
    <row r="50" spans="2:7" x14ac:dyDescent="0.2">
      <c r="B50" s="50" t="s">
        <v>442</v>
      </c>
      <c r="C50" s="51">
        <v>1</v>
      </c>
      <c r="D50" s="55" t="s">
        <v>34</v>
      </c>
      <c r="E50" s="56">
        <v>50000</v>
      </c>
      <c r="F50" s="54">
        <f t="shared" si="4"/>
        <v>50000</v>
      </c>
      <c r="G50" s="99" t="s">
        <v>11</v>
      </c>
    </row>
    <row r="51" spans="2:7" x14ac:dyDescent="0.2">
      <c r="B51" s="50" t="s">
        <v>443</v>
      </c>
      <c r="C51" s="51">
        <v>1</v>
      </c>
      <c r="D51" s="55" t="s">
        <v>34</v>
      </c>
      <c r="E51" s="56">
        <v>50000</v>
      </c>
      <c r="F51" s="54">
        <f t="shared" si="4"/>
        <v>50000</v>
      </c>
      <c r="G51" s="99" t="s">
        <v>11</v>
      </c>
    </row>
    <row r="52" spans="2:7" x14ac:dyDescent="0.2">
      <c r="B52" s="50" t="s">
        <v>11</v>
      </c>
      <c r="C52" s="51">
        <v>0</v>
      </c>
      <c r="D52" s="55"/>
      <c r="E52" s="56">
        <v>0</v>
      </c>
      <c r="F52" s="54">
        <f t="shared" ref="F52:F54" si="5">+MROUND(C52*E52,100)</f>
        <v>0</v>
      </c>
      <c r="G52" s="99" t="s">
        <v>11</v>
      </c>
    </row>
    <row r="53" spans="2:7" x14ac:dyDescent="0.2">
      <c r="B53" s="50" t="s">
        <v>11</v>
      </c>
      <c r="C53" s="51">
        <v>0</v>
      </c>
      <c r="D53" s="55"/>
      <c r="E53" s="56">
        <v>0</v>
      </c>
      <c r="F53" s="54">
        <f t="shared" si="5"/>
        <v>0</v>
      </c>
      <c r="G53" s="99" t="s">
        <v>11</v>
      </c>
    </row>
    <row r="54" spans="2:7" x14ac:dyDescent="0.2">
      <c r="B54" s="50" t="s">
        <v>11</v>
      </c>
      <c r="C54" s="51">
        <v>0</v>
      </c>
      <c r="D54" s="55"/>
      <c r="E54" s="56">
        <v>0</v>
      </c>
      <c r="F54" s="54">
        <f t="shared" si="5"/>
        <v>0</v>
      </c>
      <c r="G54" s="99" t="s">
        <v>11</v>
      </c>
    </row>
    <row r="55" spans="2:7" x14ac:dyDescent="0.2">
      <c r="B55" s="72"/>
      <c r="C55" s="63"/>
      <c r="D55" s="90" t="s">
        <v>3</v>
      </c>
      <c r="E55" s="68"/>
      <c r="F55" s="93">
        <f>SUM(F45:F54)</f>
        <v>840800</v>
      </c>
      <c r="G55" s="98"/>
    </row>
    <row r="56" spans="2:7" x14ac:dyDescent="0.2">
      <c r="B56" s="72"/>
      <c r="D56" s="91" t="str">
        <f>Assumptions!B21</f>
        <v>Contingency</v>
      </c>
      <c r="E56" s="95">
        <f>Assumptions!C21</f>
        <v>0.1</v>
      </c>
      <c r="F56" s="64">
        <f>+MROUND((F55)*E56,100)</f>
        <v>84100</v>
      </c>
      <c r="G56" s="77"/>
    </row>
    <row r="57" spans="2:7" x14ac:dyDescent="0.2">
      <c r="B57" s="72"/>
      <c r="D57" s="91" t="s">
        <v>3</v>
      </c>
      <c r="E57" s="66"/>
      <c r="F57" s="93">
        <f>SUM(F55:F56)</f>
        <v>924900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27700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952600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Wastewater Treatment Facility - Downtown Area (Overland Way)</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6250</v>
      </c>
      <c r="F74" s="111">
        <f>+MROUND(C74*E74,100)</f>
        <v>6300</v>
      </c>
      <c r="G74" s="112" t="str">
        <f>CONCATENATE(Assumptions!C33*100,"%"," ","of Other Items")</f>
        <v>5% of Other Items</v>
      </c>
    </row>
    <row r="75" spans="2:7" x14ac:dyDescent="0.2">
      <c r="B75" s="50" t="s">
        <v>33</v>
      </c>
      <c r="C75" s="51">
        <v>1</v>
      </c>
      <c r="D75" s="55" t="s">
        <v>56</v>
      </c>
      <c r="E75" s="56">
        <f>250000*2.5/5</f>
        <v>125000</v>
      </c>
      <c r="F75" s="54">
        <f t="shared" ref="F75" si="6">+MROUND(C75*E75,100)</f>
        <v>125000</v>
      </c>
      <c r="G75" s="99" t="s">
        <v>444</v>
      </c>
    </row>
    <row r="76" spans="2:7" x14ac:dyDescent="0.2">
      <c r="B76" s="50" t="s">
        <v>11</v>
      </c>
      <c r="C76" s="51">
        <v>0</v>
      </c>
      <c r="D76" s="55"/>
      <c r="E76" s="56">
        <v>0</v>
      </c>
      <c r="F76" s="54">
        <f t="shared" ref="F76:F83" si="7">+MROUND(C76*E76,100)</f>
        <v>0</v>
      </c>
      <c r="G76" s="99" t="s">
        <v>11</v>
      </c>
    </row>
    <row r="77" spans="2:7" x14ac:dyDescent="0.2">
      <c r="B77" s="50" t="s">
        <v>11</v>
      </c>
      <c r="C77" s="51">
        <v>0</v>
      </c>
      <c r="D77" s="55"/>
      <c r="E77" s="56">
        <v>0</v>
      </c>
      <c r="F77" s="54">
        <f t="shared" si="7"/>
        <v>0</v>
      </c>
      <c r="G77" s="99" t="s">
        <v>11</v>
      </c>
    </row>
    <row r="78" spans="2:7" x14ac:dyDescent="0.2">
      <c r="B78" s="50" t="s">
        <v>11</v>
      </c>
      <c r="C78" s="51">
        <v>0</v>
      </c>
      <c r="D78" s="55"/>
      <c r="E78" s="56">
        <v>0</v>
      </c>
      <c r="F78" s="54">
        <f t="shared" si="7"/>
        <v>0</v>
      </c>
      <c r="G78" s="99" t="s">
        <v>11</v>
      </c>
    </row>
    <row r="79" spans="2:7" x14ac:dyDescent="0.2">
      <c r="B79" s="50" t="s">
        <v>11</v>
      </c>
      <c r="C79" s="51">
        <v>0</v>
      </c>
      <c r="D79" s="55"/>
      <c r="E79" s="56">
        <v>0</v>
      </c>
      <c r="F79" s="54">
        <f t="shared" si="7"/>
        <v>0</v>
      </c>
      <c r="G79" s="99" t="s">
        <v>11</v>
      </c>
    </row>
    <row r="80" spans="2:7" x14ac:dyDescent="0.2">
      <c r="B80" s="50" t="s">
        <v>11</v>
      </c>
      <c r="C80" s="51">
        <v>0</v>
      </c>
      <c r="D80" s="55"/>
      <c r="E80" s="56">
        <v>0</v>
      </c>
      <c r="F80" s="54">
        <f t="shared" si="7"/>
        <v>0</v>
      </c>
      <c r="G80" s="99" t="s">
        <v>11</v>
      </c>
    </row>
    <row r="81" spans="2:7" x14ac:dyDescent="0.2">
      <c r="B81" s="50" t="s">
        <v>11</v>
      </c>
      <c r="C81" s="51">
        <v>0</v>
      </c>
      <c r="D81" s="55"/>
      <c r="E81" s="56">
        <v>0</v>
      </c>
      <c r="F81" s="54">
        <f t="shared" si="7"/>
        <v>0</v>
      </c>
      <c r="G81" s="99" t="s">
        <v>11</v>
      </c>
    </row>
    <row r="82" spans="2:7" x14ac:dyDescent="0.2">
      <c r="B82" s="50" t="s">
        <v>11</v>
      </c>
      <c r="C82" s="51">
        <v>0</v>
      </c>
      <c r="D82" s="55"/>
      <c r="E82" s="56">
        <v>0</v>
      </c>
      <c r="F82" s="54">
        <f t="shared" si="7"/>
        <v>0</v>
      </c>
      <c r="G82" s="99" t="s">
        <v>11</v>
      </c>
    </row>
    <row r="83" spans="2:7" x14ac:dyDescent="0.2">
      <c r="B83" s="50" t="s">
        <v>11</v>
      </c>
      <c r="C83" s="51">
        <v>0</v>
      </c>
      <c r="D83" s="55"/>
      <c r="E83" s="56">
        <v>0</v>
      </c>
      <c r="F83" s="54">
        <f t="shared" si="7"/>
        <v>0</v>
      </c>
      <c r="G83" s="99" t="s">
        <v>11</v>
      </c>
    </row>
    <row r="84" spans="2:7" x14ac:dyDescent="0.2">
      <c r="B84" s="72"/>
      <c r="C84" s="63"/>
      <c r="D84" s="90" t="s">
        <v>3</v>
      </c>
      <c r="E84" s="68"/>
      <c r="F84" s="93">
        <f>SUM(F74:F83)</f>
        <v>131300</v>
      </c>
      <c r="G84" s="98"/>
    </row>
    <row r="85" spans="2:7" x14ac:dyDescent="0.2">
      <c r="B85" s="72"/>
      <c r="D85" s="91" t="str">
        <f>Assumptions!B34</f>
        <v>Overhead and Profit</v>
      </c>
      <c r="E85" s="95">
        <f>Assumptions!C34</f>
        <v>0.22</v>
      </c>
      <c r="F85" s="67">
        <f>+MROUND(F84*E85,100)</f>
        <v>28900</v>
      </c>
      <c r="G85" s="77"/>
    </row>
    <row r="86" spans="2:7" x14ac:dyDescent="0.2">
      <c r="B86" s="72"/>
      <c r="D86" s="91" t="s">
        <v>3</v>
      </c>
      <c r="E86" s="66"/>
      <c r="F86" s="92">
        <f>F85+F84</f>
        <v>160200</v>
      </c>
      <c r="G86" s="77"/>
    </row>
    <row r="87" spans="2:7" x14ac:dyDescent="0.2">
      <c r="B87" s="72"/>
      <c r="D87" s="91" t="str">
        <f>Assumptions!B35</f>
        <v>Contingency</v>
      </c>
      <c r="E87" s="96">
        <f>Assumptions!C35</f>
        <v>0.3</v>
      </c>
      <c r="F87" s="64">
        <f>+MROUND((F86)*E87,100)</f>
        <v>48100</v>
      </c>
      <c r="G87" s="77"/>
    </row>
    <row r="88" spans="2:7" x14ac:dyDescent="0.2">
      <c r="B88" s="72"/>
      <c r="D88" s="91" t="s">
        <v>36</v>
      </c>
      <c r="E88" s="66"/>
      <c r="F88" s="93">
        <f>SUM(F86:F87)</f>
        <v>208300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6200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20800</v>
      </c>
      <c r="G92" s="77"/>
    </row>
    <row r="93" spans="2:7" x14ac:dyDescent="0.2">
      <c r="B93" s="72"/>
      <c r="D93" s="91" t="str">
        <f>Assumptions!B40</f>
        <v>Engineering - Construction</v>
      </c>
      <c r="E93" s="96">
        <f>Assumptions!C40</f>
        <v>0.15</v>
      </c>
      <c r="F93" s="64">
        <f>+MROUND($F$88*E93,100)</f>
        <v>31200</v>
      </c>
      <c r="G93" s="77"/>
    </row>
    <row r="94" spans="2:7" x14ac:dyDescent="0.2">
      <c r="B94" s="32"/>
      <c r="C94" s="63"/>
      <c r="D94" s="94" t="s">
        <v>58</v>
      </c>
      <c r="E94" s="68"/>
      <c r="F94" s="124">
        <f>SUM(F88:F93)</f>
        <v>266500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Wastewater Treatment Facility - Downtown Area (Overland Way)</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152</v>
      </c>
      <c r="C105" s="51">
        <v>0</v>
      </c>
      <c r="D105" s="55" t="s">
        <v>47</v>
      </c>
      <c r="E105" s="56">
        <v>65</v>
      </c>
      <c r="F105" s="54">
        <f>+MROUND(C105*E105,100)</f>
        <v>0</v>
      </c>
      <c r="G105" s="99" t="s">
        <v>226</v>
      </c>
    </row>
    <row r="106" spans="2:7" x14ac:dyDescent="0.2">
      <c r="B106" s="50" t="s">
        <v>148</v>
      </c>
      <c r="C106" s="51">
        <v>365</v>
      </c>
      <c r="D106" s="55" t="s">
        <v>56</v>
      </c>
      <c r="E106" s="56">
        <v>0</v>
      </c>
      <c r="F106" s="54">
        <f>+MROUND(C106*E106,100)</f>
        <v>0</v>
      </c>
      <c r="G106" s="99" t="s">
        <v>143</v>
      </c>
    </row>
    <row r="107" spans="2:7" x14ac:dyDescent="0.2">
      <c r="B107" s="50" t="s">
        <v>154</v>
      </c>
      <c r="C107" s="51">
        <v>0</v>
      </c>
      <c r="D107" s="55" t="s">
        <v>47</v>
      </c>
      <c r="E107" s="56">
        <v>65</v>
      </c>
      <c r="F107" s="54">
        <f t="shared" ref="F107:F113" si="8">+MROUND(C107*E107,100)</f>
        <v>0</v>
      </c>
      <c r="G107" s="99" t="s">
        <v>226</v>
      </c>
    </row>
    <row r="108" spans="2:7" x14ac:dyDescent="0.2">
      <c r="B108" s="50" t="s">
        <v>149</v>
      </c>
      <c r="C108" s="51">
        <v>52</v>
      </c>
      <c r="D108" s="55" t="s">
        <v>56</v>
      </c>
      <c r="E108" s="56">
        <f>30+15</f>
        <v>45</v>
      </c>
      <c r="F108" s="54">
        <f t="shared" si="8"/>
        <v>2300</v>
      </c>
      <c r="G108" s="99" t="s">
        <v>144</v>
      </c>
    </row>
    <row r="109" spans="2:7" x14ac:dyDescent="0.2">
      <c r="B109" s="50" t="s">
        <v>153</v>
      </c>
      <c r="C109" s="51">
        <v>0</v>
      </c>
      <c r="D109" s="55" t="s">
        <v>47</v>
      </c>
      <c r="E109" s="56">
        <v>65</v>
      </c>
      <c r="F109" s="54">
        <f t="shared" si="8"/>
        <v>0</v>
      </c>
      <c r="G109" s="99" t="s">
        <v>226</v>
      </c>
    </row>
    <row r="110" spans="2:7" ht="25.5" x14ac:dyDescent="0.2">
      <c r="B110" s="50" t="s">
        <v>150</v>
      </c>
      <c r="C110" s="51">
        <v>12</v>
      </c>
      <c r="D110" s="55" t="s">
        <v>56</v>
      </c>
      <c r="E110" s="56">
        <v>500</v>
      </c>
      <c r="F110" s="54">
        <f t="shared" si="8"/>
        <v>6000</v>
      </c>
      <c r="G110" s="99" t="s">
        <v>145</v>
      </c>
    </row>
    <row r="111" spans="2:7" x14ac:dyDescent="0.2">
      <c r="B111" s="50" t="s">
        <v>155</v>
      </c>
      <c r="C111" s="51">
        <v>0</v>
      </c>
      <c r="D111" s="55" t="s">
        <v>47</v>
      </c>
      <c r="E111" s="56">
        <v>65</v>
      </c>
      <c r="F111" s="54">
        <f t="shared" si="8"/>
        <v>0</v>
      </c>
      <c r="G111" s="99" t="s">
        <v>226</v>
      </c>
    </row>
    <row r="112" spans="2:7" ht="25.5" x14ac:dyDescent="0.2">
      <c r="B112" s="50" t="s">
        <v>151</v>
      </c>
      <c r="C112" s="51">
        <v>4</v>
      </c>
      <c r="D112" s="55" t="s">
        <v>56</v>
      </c>
      <c r="E112" s="56">
        <v>175</v>
      </c>
      <c r="F112" s="54">
        <f t="shared" si="8"/>
        <v>700</v>
      </c>
      <c r="G112" s="99" t="s">
        <v>146</v>
      </c>
    </row>
    <row r="113" spans="2:7" x14ac:dyDescent="0.2">
      <c r="B113" s="50" t="s">
        <v>160</v>
      </c>
      <c r="C113" s="51">
        <v>80</v>
      </c>
      <c r="D113" s="55" t="s">
        <v>47</v>
      </c>
      <c r="E113" s="56">
        <v>65</v>
      </c>
      <c r="F113" s="54">
        <f t="shared" si="8"/>
        <v>5200</v>
      </c>
      <c r="G113" s="99"/>
    </row>
    <row r="114" spans="2:7" x14ac:dyDescent="0.2">
      <c r="B114" s="50" t="s">
        <v>11</v>
      </c>
      <c r="C114" s="51">
        <v>0</v>
      </c>
      <c r="D114" s="55"/>
      <c r="E114" s="56">
        <v>0</v>
      </c>
      <c r="F114" s="54">
        <v>0</v>
      </c>
      <c r="G114" s="99"/>
    </row>
    <row r="115" spans="2:7" x14ac:dyDescent="0.2">
      <c r="B115" s="72"/>
      <c r="C115" s="63"/>
      <c r="D115" s="90" t="s">
        <v>3</v>
      </c>
      <c r="E115" s="68"/>
      <c r="F115" s="93">
        <f>SUM(F105:F114)</f>
        <v>14200</v>
      </c>
      <c r="G115" s="98"/>
    </row>
    <row r="116" spans="2:7" x14ac:dyDescent="0.2">
      <c r="B116" s="72"/>
      <c r="D116" s="91" t="str">
        <f>Assumptions!B45</f>
        <v>Contingency</v>
      </c>
      <c r="E116" s="95">
        <f>Assumptions!C45</f>
        <v>0.1</v>
      </c>
      <c r="F116" s="64">
        <f>+MROUND((F115)*E116,100)</f>
        <v>1400</v>
      </c>
      <c r="G116" s="77"/>
    </row>
    <row r="117" spans="2:7" x14ac:dyDescent="0.2">
      <c r="B117" s="72"/>
      <c r="D117" s="91" t="s">
        <v>3</v>
      </c>
      <c r="E117" s="66"/>
      <c r="F117" s="93">
        <f>SUM(F115:F116)</f>
        <v>15600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800</v>
      </c>
      <c r="G119" s="77"/>
    </row>
    <row r="120" spans="2:7" x14ac:dyDescent="0.2">
      <c r="B120" s="72"/>
      <c r="D120" s="91" t="str">
        <f>Assumptions!B48</f>
        <v>Engineering - Planning/Consultation</v>
      </c>
      <c r="E120" s="96">
        <f>Assumptions!C48</f>
        <v>0.03</v>
      </c>
      <c r="F120" s="64">
        <f>+MROUND($F$117*E120,100)</f>
        <v>500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16900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Units!$B$7:$B$22</xm:f>
          </x14:formula1>
          <xm:sqref>D21:D23 D76:D83 D52:D54</xm:sqref>
        </x14:dataValidation>
        <x14:dataValidation type="list" allowBlank="1" showInputMessage="1" showErrorMessage="1">
          <x14:formula1>
            <xm:f>[1]Units!#REF!</xm:f>
          </x14:formula1>
          <xm:sqref>D10:D20 D45:D51 D75 D105:D114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59999389629810485"/>
  </sheetPr>
  <dimension ref="B2:S140"/>
  <sheetViews>
    <sheetView zoomScaleNormal="100" workbookViewId="0">
      <selection activeCell="B10" sqref="B10"/>
    </sheetView>
  </sheetViews>
  <sheetFormatPr defaultRowHeight="12.75" x14ac:dyDescent="0.2"/>
  <cols>
    <col min="1" max="1" width="2.7109375" style="60" customWidth="1"/>
    <col min="2" max="2" width="45.7109375" style="60" customWidth="1"/>
    <col min="3" max="3" width="10.7109375" style="60" customWidth="1"/>
    <col min="4" max="4" width="12.7109375" style="60" customWidth="1"/>
    <col min="5" max="6" width="14.7109375" style="60" customWidth="1"/>
    <col min="7" max="7" width="50.7109375" style="60" customWidth="1"/>
    <col min="8" max="8" width="2.7109375" style="60" customWidth="1"/>
    <col min="9" max="17" width="9.140625" style="60"/>
    <col min="18" max="18" width="12.28515625" style="60" customWidth="1"/>
    <col min="19" max="19" width="11.140625" style="60" bestFit="1" customWidth="1"/>
    <col min="20" max="16384" width="9.140625" style="60"/>
  </cols>
  <sheetData>
    <row r="2" spans="2:19" x14ac:dyDescent="0.2">
      <c r="B2" s="75" t="s">
        <v>7</v>
      </c>
      <c r="C2" s="75"/>
      <c r="D2" s="75"/>
      <c r="E2" s="75"/>
      <c r="F2" s="75"/>
      <c r="G2" s="74"/>
    </row>
    <row r="3" spans="2:19" x14ac:dyDescent="0.2">
      <c r="B3" s="75" t="s">
        <v>8</v>
      </c>
      <c r="C3" s="75"/>
      <c r="D3" s="75"/>
      <c r="E3" s="75"/>
      <c r="F3" s="75"/>
      <c r="G3" s="74"/>
    </row>
    <row r="4" spans="2:19" x14ac:dyDescent="0.2">
      <c r="B4" s="75" t="str">
        <f>Assumptions!B8</f>
        <v>Estimated Capital Costs</v>
      </c>
      <c r="C4" s="75"/>
      <c r="D4" s="75"/>
      <c r="E4" s="75"/>
      <c r="F4" s="75"/>
      <c r="G4" s="74"/>
    </row>
    <row r="5" spans="2:19" x14ac:dyDescent="0.2">
      <c r="B5" s="100" t="s">
        <v>223</v>
      </c>
      <c r="C5" s="83"/>
      <c r="D5" s="83"/>
      <c r="E5" s="83"/>
      <c r="F5" s="83"/>
      <c r="G5" s="84"/>
    </row>
    <row r="6" spans="2:19" ht="13.5" thickBot="1" x14ac:dyDescent="0.25"/>
    <row r="7" spans="2:19" ht="13.5" thickBot="1" x14ac:dyDescent="0.25">
      <c r="B7" s="61" t="s">
        <v>4</v>
      </c>
      <c r="C7" s="62" t="s">
        <v>5</v>
      </c>
      <c r="D7" s="62" t="s">
        <v>1</v>
      </c>
      <c r="E7" s="62" t="s">
        <v>0</v>
      </c>
      <c r="F7" s="78" t="s">
        <v>10</v>
      </c>
      <c r="G7" s="79" t="s">
        <v>9</v>
      </c>
    </row>
    <row r="8" spans="2:19" x14ac:dyDescent="0.2">
      <c r="B8" s="72"/>
      <c r="C8" s="63"/>
      <c r="D8" s="63"/>
      <c r="E8" s="68"/>
      <c r="F8" s="68"/>
      <c r="G8" s="76"/>
    </row>
    <row r="9" spans="2:19" x14ac:dyDescent="0.2">
      <c r="B9" s="81" t="s">
        <v>12</v>
      </c>
      <c r="C9" s="65">
        <v>1</v>
      </c>
      <c r="D9" s="82" t="s">
        <v>2</v>
      </c>
      <c r="E9" s="64">
        <f>(SUM($F$10:$F$23))*Assumptions!$C$9</f>
        <v>62500</v>
      </c>
      <c r="F9" s="64">
        <f>+MROUND(C9*E9,100)</f>
        <v>62500</v>
      </c>
      <c r="G9" s="77" t="str">
        <f>CONCATENATE(Assumptions!C9*100,"%"," ","of Other Items")</f>
        <v>5% of Other Items</v>
      </c>
      <c r="S9" s="147"/>
    </row>
    <row r="10" spans="2:19" x14ac:dyDescent="0.2">
      <c r="B10" s="50" t="s">
        <v>164</v>
      </c>
      <c r="C10" s="51">
        <v>1</v>
      </c>
      <c r="D10" s="55" t="s">
        <v>31</v>
      </c>
      <c r="E10" s="56">
        <f>250000*5</f>
        <v>1250000</v>
      </c>
      <c r="F10" s="54">
        <f t="shared" ref="F10:F22" si="0">+MROUND(C10*E10,100)</f>
        <v>1250000</v>
      </c>
      <c r="G10" s="99" t="s">
        <v>163</v>
      </c>
      <c r="S10" s="147"/>
    </row>
    <row r="11" spans="2:19" x14ac:dyDescent="0.2">
      <c r="B11" s="50" t="s">
        <v>11</v>
      </c>
      <c r="C11" s="51">
        <v>0</v>
      </c>
      <c r="D11" s="55" t="s">
        <v>11</v>
      </c>
      <c r="E11" s="56">
        <v>0</v>
      </c>
      <c r="F11" s="54">
        <f t="shared" si="0"/>
        <v>0</v>
      </c>
      <c r="G11" s="99" t="s">
        <v>11</v>
      </c>
      <c r="S11" s="147"/>
    </row>
    <row r="12" spans="2:19" x14ac:dyDescent="0.2">
      <c r="B12" s="50" t="s">
        <v>11</v>
      </c>
      <c r="C12" s="51">
        <v>0</v>
      </c>
      <c r="D12" s="55"/>
      <c r="E12" s="56">
        <v>0</v>
      </c>
      <c r="F12" s="54">
        <f t="shared" si="0"/>
        <v>0</v>
      </c>
      <c r="G12" s="99" t="s">
        <v>11</v>
      </c>
      <c r="S12" s="147"/>
    </row>
    <row r="13" spans="2:19" x14ac:dyDescent="0.2">
      <c r="B13" s="50" t="s">
        <v>11</v>
      </c>
      <c r="C13" s="51">
        <v>0</v>
      </c>
      <c r="D13" s="55"/>
      <c r="E13" s="56">
        <v>0</v>
      </c>
      <c r="F13" s="54">
        <f t="shared" si="0"/>
        <v>0</v>
      </c>
      <c r="G13" s="99" t="s">
        <v>11</v>
      </c>
      <c r="S13" s="147"/>
    </row>
    <row r="14" spans="2:19" x14ac:dyDescent="0.2">
      <c r="B14" s="50" t="s">
        <v>11</v>
      </c>
      <c r="C14" s="51">
        <v>0</v>
      </c>
      <c r="D14" s="55"/>
      <c r="E14" s="56">
        <v>0</v>
      </c>
      <c r="F14" s="54">
        <f t="shared" si="0"/>
        <v>0</v>
      </c>
      <c r="G14" s="99" t="s">
        <v>11</v>
      </c>
      <c r="S14" s="147"/>
    </row>
    <row r="15" spans="2:19" x14ac:dyDescent="0.2">
      <c r="B15" s="50" t="s">
        <v>11</v>
      </c>
      <c r="C15" s="51">
        <v>0</v>
      </c>
      <c r="D15" s="55"/>
      <c r="E15" s="56">
        <v>0</v>
      </c>
      <c r="F15" s="54">
        <f t="shared" si="0"/>
        <v>0</v>
      </c>
      <c r="G15" s="99" t="s">
        <v>11</v>
      </c>
      <c r="S15" s="147"/>
    </row>
    <row r="16" spans="2:19" x14ac:dyDescent="0.2">
      <c r="B16" s="50" t="s">
        <v>11</v>
      </c>
      <c r="C16" s="51">
        <v>0</v>
      </c>
      <c r="D16" s="55"/>
      <c r="E16" s="119">
        <v>0</v>
      </c>
      <c r="F16" s="54">
        <f t="shared" si="0"/>
        <v>0</v>
      </c>
      <c r="G16" s="99" t="s">
        <v>11</v>
      </c>
      <c r="S16" s="147"/>
    </row>
    <row r="17" spans="2:19" x14ac:dyDescent="0.2">
      <c r="B17" s="50" t="s">
        <v>11</v>
      </c>
      <c r="C17" s="51">
        <v>0</v>
      </c>
      <c r="D17" s="55"/>
      <c r="E17" s="56">
        <v>0</v>
      </c>
      <c r="F17" s="54">
        <f t="shared" si="0"/>
        <v>0</v>
      </c>
      <c r="G17" s="99" t="s">
        <v>11</v>
      </c>
      <c r="S17" s="147"/>
    </row>
    <row r="18" spans="2:19" x14ac:dyDescent="0.2">
      <c r="B18" s="50" t="s">
        <v>11</v>
      </c>
      <c r="C18" s="51">
        <v>0</v>
      </c>
      <c r="D18" s="55"/>
      <c r="E18" s="56">
        <v>0</v>
      </c>
      <c r="F18" s="54">
        <f t="shared" si="0"/>
        <v>0</v>
      </c>
      <c r="G18" s="99" t="s">
        <v>11</v>
      </c>
      <c r="S18" s="147"/>
    </row>
    <row r="19" spans="2:19" x14ac:dyDescent="0.2">
      <c r="B19" s="50" t="s">
        <v>11</v>
      </c>
      <c r="C19" s="51">
        <v>0</v>
      </c>
      <c r="D19" s="55"/>
      <c r="E19" s="56">
        <v>0</v>
      </c>
      <c r="F19" s="54">
        <f t="shared" si="0"/>
        <v>0</v>
      </c>
      <c r="G19" s="99" t="s">
        <v>11</v>
      </c>
      <c r="S19" s="147"/>
    </row>
    <row r="20" spans="2:19" x14ac:dyDescent="0.2">
      <c r="B20" s="50" t="s">
        <v>11</v>
      </c>
      <c r="C20" s="51">
        <v>0</v>
      </c>
      <c r="D20" s="55"/>
      <c r="E20" s="56">
        <v>0</v>
      </c>
      <c r="F20" s="54">
        <f t="shared" si="0"/>
        <v>0</v>
      </c>
      <c r="G20" s="99" t="s">
        <v>11</v>
      </c>
      <c r="S20" s="147"/>
    </row>
    <row r="21" spans="2:19" x14ac:dyDescent="0.2">
      <c r="B21" s="50" t="s">
        <v>11</v>
      </c>
      <c r="C21" s="51">
        <v>0</v>
      </c>
      <c r="D21" s="55"/>
      <c r="E21" s="56">
        <v>0</v>
      </c>
      <c r="F21" s="54">
        <f t="shared" si="0"/>
        <v>0</v>
      </c>
      <c r="G21" s="99" t="s">
        <v>11</v>
      </c>
      <c r="S21" s="147"/>
    </row>
    <row r="22" spans="2:19" x14ac:dyDescent="0.2">
      <c r="B22" s="50" t="s">
        <v>11</v>
      </c>
      <c r="C22" s="51">
        <v>0</v>
      </c>
      <c r="D22" s="55"/>
      <c r="E22" s="56">
        <v>0</v>
      </c>
      <c r="F22" s="54">
        <f t="shared" si="0"/>
        <v>0</v>
      </c>
      <c r="G22" s="99" t="s">
        <v>11</v>
      </c>
      <c r="S22" s="147"/>
    </row>
    <row r="23" spans="2:19" x14ac:dyDescent="0.2">
      <c r="B23" s="50" t="s">
        <v>11</v>
      </c>
      <c r="C23" s="51">
        <v>0</v>
      </c>
      <c r="D23" s="55"/>
      <c r="E23" s="56">
        <v>0</v>
      </c>
      <c r="F23" s="54">
        <f t="shared" ref="F23" si="1">+MROUND(C23*E23,1000)</f>
        <v>0</v>
      </c>
      <c r="G23" s="99" t="s">
        <v>11</v>
      </c>
      <c r="S23" s="147"/>
    </row>
    <row r="24" spans="2:19" x14ac:dyDescent="0.2">
      <c r="B24" s="72"/>
      <c r="C24" s="63"/>
      <c r="D24" s="90" t="s">
        <v>3</v>
      </c>
      <c r="E24" s="68"/>
      <c r="F24" s="93">
        <f>+SUM(F9:F23)</f>
        <v>1312500</v>
      </c>
      <c r="G24" s="98"/>
    </row>
    <row r="25" spans="2:19" x14ac:dyDescent="0.2">
      <c r="B25" s="72"/>
      <c r="D25" s="91" t="str">
        <f>Assumptions!B10</f>
        <v>Overhead and Profit</v>
      </c>
      <c r="E25" s="95">
        <f>Assumptions!C10</f>
        <v>0.22</v>
      </c>
      <c r="F25" s="67">
        <f>+MROUND(F24*E25,100)</f>
        <v>288800</v>
      </c>
      <c r="G25" s="77"/>
    </row>
    <row r="26" spans="2:19" x14ac:dyDescent="0.2">
      <c r="B26" s="72"/>
      <c r="D26" s="91" t="s">
        <v>3</v>
      </c>
      <c r="E26" s="66"/>
      <c r="F26" s="92">
        <f>F25+F24</f>
        <v>1601300</v>
      </c>
      <c r="G26" s="77"/>
    </row>
    <row r="27" spans="2:19" x14ac:dyDescent="0.2">
      <c r="B27" s="72"/>
      <c r="D27" s="91" t="str">
        <f>Assumptions!B11</f>
        <v>Contingency</v>
      </c>
      <c r="E27" s="96">
        <f>Assumptions!C11</f>
        <v>0.25</v>
      </c>
      <c r="F27" s="64">
        <f>+MROUND((F26)*E27,100)</f>
        <v>400300</v>
      </c>
      <c r="G27" s="77"/>
    </row>
    <row r="28" spans="2:19" x14ac:dyDescent="0.2">
      <c r="B28" s="72"/>
      <c r="D28" s="91" t="s">
        <v>36</v>
      </c>
      <c r="E28" s="96"/>
      <c r="F28" s="93">
        <f>SUM(F26:F27)</f>
        <v>2001600</v>
      </c>
      <c r="G28" s="77"/>
    </row>
    <row r="29" spans="2:19" x14ac:dyDescent="0.2">
      <c r="B29" s="72"/>
      <c r="D29" s="91" t="str">
        <f>Assumptions!B12</f>
        <v>Town Administration and Engineering</v>
      </c>
      <c r="E29" s="96"/>
      <c r="F29" s="64"/>
      <c r="G29" s="77"/>
    </row>
    <row r="30" spans="2:19" x14ac:dyDescent="0.2">
      <c r="B30" s="72"/>
      <c r="D30" s="91" t="str">
        <f>Assumptions!B13</f>
        <v>Town Administration</v>
      </c>
      <c r="E30" s="96">
        <f>Assumptions!C13</f>
        <v>0.05</v>
      </c>
      <c r="F30" s="64">
        <f>+MROUND($F$28*E30,100)+200000</f>
        <v>300100</v>
      </c>
      <c r="G30" s="77" t="s">
        <v>266</v>
      </c>
    </row>
    <row r="31" spans="2:19" x14ac:dyDescent="0.2">
      <c r="B31" s="72"/>
      <c r="D31" s="91" t="str">
        <f>Assumptions!B14</f>
        <v>Engineering - Planning/Consultation</v>
      </c>
      <c r="E31" s="96">
        <f>Assumptions!C14</f>
        <v>0.05</v>
      </c>
      <c r="F31" s="64">
        <f>+MROUND($F$28*E31,100)</f>
        <v>100100</v>
      </c>
      <c r="G31" s="77"/>
    </row>
    <row r="32" spans="2:19" x14ac:dyDescent="0.2">
      <c r="B32" s="72"/>
      <c r="D32" s="91" t="str">
        <f>Assumptions!B15</f>
        <v>Engineering - Design</v>
      </c>
      <c r="E32" s="96">
        <f>Assumptions!C15</f>
        <v>0.1</v>
      </c>
      <c r="F32" s="64">
        <f t="shared" ref="F32:F33" si="2">+MROUND($F$28*E32,100)</f>
        <v>200200</v>
      </c>
      <c r="G32" s="77"/>
    </row>
    <row r="33" spans="2:7" x14ac:dyDescent="0.2">
      <c r="B33" s="72"/>
      <c r="D33" s="91" t="str">
        <f>Assumptions!B16</f>
        <v>Engineering - Construction</v>
      </c>
      <c r="E33" s="96">
        <f>Assumptions!C16</f>
        <v>0.15</v>
      </c>
      <c r="F33" s="64">
        <f t="shared" si="2"/>
        <v>300200</v>
      </c>
      <c r="G33" s="77"/>
    </row>
    <row r="34" spans="2:7" x14ac:dyDescent="0.2">
      <c r="B34" s="32"/>
      <c r="C34" s="63"/>
      <c r="D34" s="94" t="s">
        <v>19</v>
      </c>
      <c r="E34" s="68"/>
      <c r="F34" s="124">
        <f>SUM(F28:F33)</f>
        <v>2902200</v>
      </c>
      <c r="G34" s="98" t="str">
        <f>CONCATENATE(Assumptions!B57," ","="," ",Assumptions!C57," ","(",Assumptions!E57,")")</f>
        <v>Engineering News Record (ENR) = 10182 (Feb. 2016)</v>
      </c>
    </row>
    <row r="35" spans="2:7" ht="13.5" thickBot="1" x14ac:dyDescent="0.25">
      <c r="B35" s="73"/>
      <c r="C35" s="70"/>
      <c r="D35" s="70"/>
      <c r="E35" s="71"/>
      <c r="F35" s="71"/>
      <c r="G35" s="80"/>
    </row>
    <row r="36" spans="2:7" x14ac:dyDescent="0.2">
      <c r="B36" s="63"/>
      <c r="C36" s="63"/>
      <c r="D36" s="63"/>
      <c r="E36" s="68"/>
      <c r="F36" s="68"/>
      <c r="G36" s="69"/>
    </row>
    <row r="37" spans="2:7" s="63" customFormat="1" x14ac:dyDescent="0.2">
      <c r="B37" s="60"/>
      <c r="C37" s="60"/>
      <c r="D37" s="60"/>
      <c r="E37" s="60"/>
      <c r="F37" s="60"/>
      <c r="G37" s="60"/>
    </row>
    <row r="38" spans="2:7" x14ac:dyDescent="0.2">
      <c r="B38" s="75" t="s">
        <v>7</v>
      </c>
      <c r="C38" s="75"/>
      <c r="D38" s="75"/>
      <c r="E38" s="75"/>
      <c r="F38" s="75"/>
      <c r="G38" s="74"/>
    </row>
    <row r="39" spans="2:7" x14ac:dyDescent="0.2">
      <c r="B39" s="75" t="s">
        <v>8</v>
      </c>
      <c r="C39" s="75"/>
      <c r="D39" s="75"/>
      <c r="E39" s="75"/>
      <c r="F39" s="75"/>
      <c r="G39" s="74"/>
    </row>
    <row r="40" spans="2:7" x14ac:dyDescent="0.2">
      <c r="B40" s="83" t="str">
        <f>Assumptions!B20</f>
        <v>Estimated Annual Operation and Maintenance Costs</v>
      </c>
      <c r="C40" s="83"/>
      <c r="D40" s="83"/>
      <c r="E40" s="83"/>
      <c r="F40" s="83"/>
      <c r="G40" s="84"/>
    </row>
    <row r="41" spans="2:7" x14ac:dyDescent="0.2">
      <c r="B41" s="83" t="str">
        <f>B5</f>
        <v>Effluent Disposal - Downtown Area (Overland Way - Parcel 1/1A)</v>
      </c>
      <c r="C41" s="83"/>
      <c r="D41" s="83"/>
      <c r="E41" s="83"/>
      <c r="F41" s="83"/>
      <c r="G41" s="84"/>
    </row>
    <row r="42" spans="2:7" ht="13.5" thickBot="1" x14ac:dyDescent="0.25">
      <c r="B42" s="85"/>
      <c r="C42" s="85"/>
      <c r="D42" s="85"/>
      <c r="E42" s="85"/>
      <c r="F42" s="85"/>
      <c r="G42" s="85"/>
    </row>
    <row r="43" spans="2:7" ht="13.5" thickBot="1" x14ac:dyDescent="0.25">
      <c r="B43" s="86" t="s">
        <v>4</v>
      </c>
      <c r="C43" s="87" t="s">
        <v>5</v>
      </c>
      <c r="D43" s="87" t="s">
        <v>1</v>
      </c>
      <c r="E43" s="87" t="s">
        <v>0</v>
      </c>
      <c r="F43" s="88" t="s">
        <v>10</v>
      </c>
      <c r="G43" s="89" t="s">
        <v>9</v>
      </c>
    </row>
    <row r="44" spans="2:7" x14ac:dyDescent="0.2">
      <c r="B44" s="72"/>
      <c r="C44" s="63"/>
      <c r="D44" s="63"/>
      <c r="E44" s="68"/>
      <c r="F44" s="68"/>
      <c r="G44" s="76"/>
    </row>
    <row r="45" spans="2:7" x14ac:dyDescent="0.2">
      <c r="B45" s="50" t="s">
        <v>147</v>
      </c>
      <c r="C45" s="51">
        <v>1</v>
      </c>
      <c r="D45" s="55" t="s">
        <v>34</v>
      </c>
      <c r="E45" s="56">
        <v>10000</v>
      </c>
      <c r="F45" s="54">
        <f>+MROUND(C45*E45,100)</f>
        <v>10000</v>
      </c>
      <c r="G45" s="99" t="s">
        <v>11</v>
      </c>
    </row>
    <row r="46" spans="2:7" x14ac:dyDescent="0.2">
      <c r="B46" s="50" t="s">
        <v>11</v>
      </c>
      <c r="C46" s="51">
        <v>0</v>
      </c>
      <c r="D46" s="55"/>
      <c r="E46" s="56">
        <v>0</v>
      </c>
      <c r="F46" s="54">
        <f t="shared" ref="F46:F54" si="3">+MROUND(C46*E46,100)</f>
        <v>0</v>
      </c>
      <c r="G46" s="99" t="s">
        <v>11</v>
      </c>
    </row>
    <row r="47" spans="2:7" x14ac:dyDescent="0.2">
      <c r="B47" s="50" t="s">
        <v>11</v>
      </c>
      <c r="C47" s="51">
        <v>0</v>
      </c>
      <c r="D47" s="55"/>
      <c r="E47" s="56">
        <v>0</v>
      </c>
      <c r="F47" s="54">
        <f t="shared" si="3"/>
        <v>0</v>
      </c>
      <c r="G47" s="99" t="s">
        <v>11</v>
      </c>
    </row>
    <row r="48" spans="2:7" x14ac:dyDescent="0.2">
      <c r="B48" s="50" t="s">
        <v>11</v>
      </c>
      <c r="C48" s="51">
        <v>0</v>
      </c>
      <c r="D48" s="55"/>
      <c r="E48" s="56">
        <v>0</v>
      </c>
      <c r="F48" s="54">
        <f t="shared" si="3"/>
        <v>0</v>
      </c>
      <c r="G48" s="99" t="s">
        <v>11</v>
      </c>
    </row>
    <row r="49" spans="2:7" x14ac:dyDescent="0.2">
      <c r="B49" s="50" t="s">
        <v>11</v>
      </c>
      <c r="C49" s="51">
        <v>0</v>
      </c>
      <c r="D49" s="55"/>
      <c r="E49" s="56">
        <v>0</v>
      </c>
      <c r="F49" s="54">
        <f t="shared" si="3"/>
        <v>0</v>
      </c>
      <c r="G49" s="99" t="s">
        <v>11</v>
      </c>
    </row>
    <row r="50" spans="2:7" x14ac:dyDescent="0.2">
      <c r="B50" s="50" t="s">
        <v>11</v>
      </c>
      <c r="C50" s="51">
        <v>0</v>
      </c>
      <c r="D50" s="55"/>
      <c r="E50" s="56">
        <v>0</v>
      </c>
      <c r="F50" s="54">
        <f t="shared" si="3"/>
        <v>0</v>
      </c>
      <c r="G50" s="99" t="s">
        <v>11</v>
      </c>
    </row>
    <row r="51" spans="2:7" x14ac:dyDescent="0.2">
      <c r="B51" s="50" t="s">
        <v>11</v>
      </c>
      <c r="C51" s="51">
        <v>0</v>
      </c>
      <c r="D51" s="55"/>
      <c r="E51" s="56">
        <v>0</v>
      </c>
      <c r="F51" s="54">
        <f t="shared" si="3"/>
        <v>0</v>
      </c>
      <c r="G51" s="99" t="s">
        <v>11</v>
      </c>
    </row>
    <row r="52" spans="2:7" x14ac:dyDescent="0.2">
      <c r="B52" s="50" t="s">
        <v>11</v>
      </c>
      <c r="C52" s="51">
        <v>0</v>
      </c>
      <c r="D52" s="55"/>
      <c r="E52" s="56">
        <v>0</v>
      </c>
      <c r="F52" s="54">
        <f t="shared" si="3"/>
        <v>0</v>
      </c>
      <c r="G52" s="99" t="s">
        <v>11</v>
      </c>
    </row>
    <row r="53" spans="2:7" x14ac:dyDescent="0.2">
      <c r="B53" s="50" t="s">
        <v>11</v>
      </c>
      <c r="C53" s="51">
        <v>0</v>
      </c>
      <c r="D53" s="55"/>
      <c r="E53" s="56">
        <v>0</v>
      </c>
      <c r="F53" s="54">
        <f t="shared" si="3"/>
        <v>0</v>
      </c>
      <c r="G53" s="99" t="s">
        <v>11</v>
      </c>
    </row>
    <row r="54" spans="2:7" x14ac:dyDescent="0.2">
      <c r="B54" s="50" t="s">
        <v>11</v>
      </c>
      <c r="C54" s="51">
        <v>0</v>
      </c>
      <c r="D54" s="55"/>
      <c r="E54" s="56">
        <v>0</v>
      </c>
      <c r="F54" s="54">
        <f t="shared" si="3"/>
        <v>0</v>
      </c>
      <c r="G54" s="99" t="s">
        <v>11</v>
      </c>
    </row>
    <row r="55" spans="2:7" x14ac:dyDescent="0.2">
      <c r="B55" s="72"/>
      <c r="C55" s="63"/>
      <c r="D55" s="90" t="s">
        <v>3</v>
      </c>
      <c r="E55" s="68"/>
      <c r="F55" s="93">
        <f>SUM(F45:F54)</f>
        <v>10000</v>
      </c>
      <c r="G55" s="98"/>
    </row>
    <row r="56" spans="2:7" x14ac:dyDescent="0.2">
      <c r="B56" s="72"/>
      <c r="D56" s="91" t="str">
        <f>Assumptions!B21</f>
        <v>Contingency</v>
      </c>
      <c r="E56" s="95">
        <f>Assumptions!C21</f>
        <v>0.1</v>
      </c>
      <c r="F56" s="64">
        <f>+MROUND((F55)*E56,100)</f>
        <v>1000</v>
      </c>
      <c r="G56" s="77"/>
    </row>
    <row r="57" spans="2:7" x14ac:dyDescent="0.2">
      <c r="B57" s="72"/>
      <c r="D57" s="91" t="s">
        <v>3</v>
      </c>
      <c r="E57" s="66"/>
      <c r="F57" s="93">
        <f>SUM(F55:F56)</f>
        <v>11000</v>
      </c>
      <c r="G57" s="77"/>
    </row>
    <row r="58" spans="2:7" x14ac:dyDescent="0.2">
      <c r="B58" s="72"/>
      <c r="D58" s="91" t="str">
        <f>Assumptions!B22</f>
        <v>Town Administration and Engineering</v>
      </c>
      <c r="E58" s="96"/>
      <c r="F58" s="64"/>
      <c r="G58" s="77"/>
    </row>
    <row r="59" spans="2:7" x14ac:dyDescent="0.2">
      <c r="B59" s="72"/>
      <c r="D59" s="91" t="str">
        <f>Assumptions!B23</f>
        <v>Town Administration</v>
      </c>
      <c r="E59" s="96">
        <f>Assumptions!C23</f>
        <v>0.03</v>
      </c>
      <c r="F59" s="64">
        <f>+MROUND($F$57*E59,100)</f>
        <v>300</v>
      </c>
      <c r="G59" s="77"/>
    </row>
    <row r="60" spans="2:7" x14ac:dyDescent="0.2">
      <c r="B60" s="72"/>
      <c r="D60" s="91" t="str">
        <f>Assumptions!B24</f>
        <v>Engineering - Planning/Consultation</v>
      </c>
      <c r="E60" s="96">
        <f>Assumptions!C24</f>
        <v>0</v>
      </c>
      <c r="F60" s="64">
        <f>+MROUND($F$57*E60,100)</f>
        <v>0</v>
      </c>
      <c r="G60" s="77"/>
    </row>
    <row r="61" spans="2:7" x14ac:dyDescent="0.2">
      <c r="B61" s="72"/>
      <c r="D61" s="91" t="str">
        <f>Assumptions!B25</f>
        <v>Engineering - Design</v>
      </c>
      <c r="E61" s="96">
        <f>Assumptions!C25</f>
        <v>0</v>
      </c>
      <c r="F61" s="64">
        <f>+MROUND($F$57*E61,100)</f>
        <v>0</v>
      </c>
      <c r="G61" s="77"/>
    </row>
    <row r="62" spans="2:7" x14ac:dyDescent="0.2">
      <c r="B62" s="72"/>
      <c r="D62" s="91" t="str">
        <f>Assumptions!B26</f>
        <v>Engineering - Construction</v>
      </c>
      <c r="E62" s="96">
        <f>Assumptions!C26</f>
        <v>0</v>
      </c>
      <c r="F62" s="64">
        <f>+MROUND($F$57*E62,100)</f>
        <v>0</v>
      </c>
      <c r="G62" s="77"/>
    </row>
    <row r="63" spans="2:7" x14ac:dyDescent="0.2">
      <c r="B63" s="32"/>
      <c r="C63" s="63"/>
      <c r="D63" s="94" t="s">
        <v>18</v>
      </c>
      <c r="F63" s="124">
        <f>SUM(F57:F62)</f>
        <v>11300</v>
      </c>
      <c r="G63" s="98" t="str">
        <f>G34</f>
        <v>Engineering News Record (ENR) = 10182 (Feb. 2016)</v>
      </c>
    </row>
    <row r="64" spans="2:7" ht="13.5" thickBot="1" x14ac:dyDescent="0.25">
      <c r="B64" s="73"/>
      <c r="C64" s="70"/>
      <c r="D64" s="70"/>
      <c r="E64" s="71"/>
      <c r="F64" s="71"/>
      <c r="G64" s="80"/>
    </row>
    <row r="65" spans="2:7" x14ac:dyDescent="0.2">
      <c r="B65" s="63"/>
      <c r="C65" s="63"/>
      <c r="D65" s="63"/>
      <c r="E65" s="68"/>
      <c r="F65" s="68"/>
      <c r="G65" s="69"/>
    </row>
    <row r="67" spans="2:7" x14ac:dyDescent="0.2">
      <c r="B67" s="75" t="s">
        <v>7</v>
      </c>
      <c r="C67" s="75"/>
      <c r="D67" s="75"/>
      <c r="E67" s="75"/>
      <c r="F67" s="75"/>
      <c r="G67" s="74"/>
    </row>
    <row r="68" spans="2:7" x14ac:dyDescent="0.2">
      <c r="B68" s="75" t="s">
        <v>8</v>
      </c>
      <c r="C68" s="75"/>
      <c r="D68" s="75"/>
      <c r="E68" s="75"/>
      <c r="F68" s="75"/>
      <c r="G68" s="74"/>
    </row>
    <row r="69" spans="2:7" x14ac:dyDescent="0.2">
      <c r="B69" s="83" t="str">
        <f>Assumptions!B32</f>
        <v>Estimated Replacement Costs</v>
      </c>
      <c r="C69" s="83"/>
      <c r="D69" s="83"/>
      <c r="E69" s="83"/>
      <c r="F69" s="83"/>
      <c r="G69" s="84"/>
    </row>
    <row r="70" spans="2:7" x14ac:dyDescent="0.2">
      <c r="B70" s="83" t="str">
        <f>B5</f>
        <v>Effluent Disposal - Downtown Area (Overland Way - Parcel 1/1A)</v>
      </c>
      <c r="C70" s="83"/>
      <c r="D70" s="83"/>
      <c r="E70" s="83"/>
      <c r="F70" s="83"/>
      <c r="G70" s="84"/>
    </row>
    <row r="71" spans="2:7" ht="13.5" thickBot="1" x14ac:dyDescent="0.25"/>
    <row r="72" spans="2:7" ht="13.5" thickBot="1" x14ac:dyDescent="0.25">
      <c r="B72" s="61" t="s">
        <v>4</v>
      </c>
      <c r="C72" s="62" t="s">
        <v>5</v>
      </c>
      <c r="D72" s="62" t="s">
        <v>1</v>
      </c>
      <c r="E72" s="62" t="s">
        <v>0</v>
      </c>
      <c r="F72" s="78" t="s">
        <v>10</v>
      </c>
      <c r="G72" s="79" t="s">
        <v>9</v>
      </c>
    </row>
    <row r="73" spans="2:7" x14ac:dyDescent="0.2">
      <c r="B73" s="72"/>
      <c r="C73" s="63"/>
      <c r="D73" s="63"/>
      <c r="E73" s="68"/>
      <c r="F73" s="68"/>
      <c r="G73" s="76"/>
    </row>
    <row r="74" spans="2:7" s="103" customFormat="1" x14ac:dyDescent="0.2">
      <c r="B74" s="102" t="str">
        <f>Assumptions!B33</f>
        <v>Mobilization and Demobilization</v>
      </c>
      <c r="C74" s="109">
        <v>1</v>
      </c>
      <c r="D74" s="110" t="s">
        <v>2</v>
      </c>
      <c r="E74" s="64">
        <f>(SUM($F$75:$F$83))*Assumptions!$C$9</f>
        <v>0</v>
      </c>
      <c r="F74" s="111">
        <f>+MROUND(C74*E74,100)</f>
        <v>0</v>
      </c>
      <c r="G74" s="112" t="str">
        <f>CONCATENATE(Assumptions!C33*100,"%"," ","of Other Items")</f>
        <v>5% of Other Items</v>
      </c>
    </row>
    <row r="75" spans="2:7" x14ac:dyDescent="0.2">
      <c r="B75" s="50" t="s">
        <v>11</v>
      </c>
      <c r="C75" s="51">
        <v>0</v>
      </c>
      <c r="D75" s="55"/>
      <c r="E75" s="56">
        <v>0</v>
      </c>
      <c r="F75" s="54">
        <f t="shared" ref="F75:F83" si="4">+MROUND(C75*E75,100)</f>
        <v>0</v>
      </c>
      <c r="G75" s="99" t="s">
        <v>140</v>
      </c>
    </row>
    <row r="76" spans="2:7" x14ac:dyDescent="0.2">
      <c r="B76" s="50" t="s">
        <v>11</v>
      </c>
      <c r="C76" s="51">
        <v>0</v>
      </c>
      <c r="D76" s="55"/>
      <c r="E76" s="56">
        <v>0</v>
      </c>
      <c r="F76" s="54">
        <f t="shared" si="4"/>
        <v>0</v>
      </c>
      <c r="G76" s="99" t="s">
        <v>11</v>
      </c>
    </row>
    <row r="77" spans="2:7" x14ac:dyDescent="0.2">
      <c r="B77" s="50" t="s">
        <v>11</v>
      </c>
      <c r="C77" s="51">
        <v>0</v>
      </c>
      <c r="D77" s="55"/>
      <c r="E77" s="56">
        <v>0</v>
      </c>
      <c r="F77" s="54">
        <f t="shared" si="4"/>
        <v>0</v>
      </c>
      <c r="G77" s="99" t="s">
        <v>11</v>
      </c>
    </row>
    <row r="78" spans="2:7" x14ac:dyDescent="0.2">
      <c r="B78" s="50" t="s">
        <v>11</v>
      </c>
      <c r="C78" s="51">
        <v>0</v>
      </c>
      <c r="D78" s="55"/>
      <c r="E78" s="56">
        <v>0</v>
      </c>
      <c r="F78" s="54">
        <f t="shared" si="4"/>
        <v>0</v>
      </c>
      <c r="G78" s="99" t="s">
        <v>11</v>
      </c>
    </row>
    <row r="79" spans="2:7" x14ac:dyDescent="0.2">
      <c r="B79" s="50" t="s">
        <v>11</v>
      </c>
      <c r="C79" s="51">
        <v>0</v>
      </c>
      <c r="D79" s="55"/>
      <c r="E79" s="56">
        <v>0</v>
      </c>
      <c r="F79" s="54">
        <f t="shared" si="4"/>
        <v>0</v>
      </c>
      <c r="G79" s="99" t="s">
        <v>11</v>
      </c>
    </row>
    <row r="80" spans="2:7" x14ac:dyDescent="0.2">
      <c r="B80" s="50" t="s">
        <v>11</v>
      </c>
      <c r="C80" s="51">
        <v>0</v>
      </c>
      <c r="D80" s="55"/>
      <c r="E80" s="56">
        <v>0</v>
      </c>
      <c r="F80" s="54">
        <f t="shared" si="4"/>
        <v>0</v>
      </c>
      <c r="G80" s="99" t="s">
        <v>11</v>
      </c>
    </row>
    <row r="81" spans="2:7" x14ac:dyDescent="0.2">
      <c r="B81" s="50" t="s">
        <v>11</v>
      </c>
      <c r="C81" s="51">
        <v>0</v>
      </c>
      <c r="D81" s="55"/>
      <c r="E81" s="56">
        <v>0</v>
      </c>
      <c r="F81" s="54">
        <f t="shared" si="4"/>
        <v>0</v>
      </c>
      <c r="G81" s="99" t="s">
        <v>11</v>
      </c>
    </row>
    <row r="82" spans="2:7" x14ac:dyDescent="0.2">
      <c r="B82" s="50" t="s">
        <v>11</v>
      </c>
      <c r="C82" s="51">
        <v>0</v>
      </c>
      <c r="D82" s="55"/>
      <c r="E82" s="56">
        <v>0</v>
      </c>
      <c r="F82" s="54">
        <f t="shared" si="4"/>
        <v>0</v>
      </c>
      <c r="G82" s="99" t="s">
        <v>11</v>
      </c>
    </row>
    <row r="83" spans="2:7" x14ac:dyDescent="0.2">
      <c r="B83" s="50" t="s">
        <v>11</v>
      </c>
      <c r="C83" s="51">
        <v>0</v>
      </c>
      <c r="D83" s="55"/>
      <c r="E83" s="56">
        <v>0</v>
      </c>
      <c r="F83" s="54">
        <f t="shared" si="4"/>
        <v>0</v>
      </c>
      <c r="G83" s="99" t="s">
        <v>11</v>
      </c>
    </row>
    <row r="84" spans="2:7" x14ac:dyDescent="0.2">
      <c r="B84" s="72"/>
      <c r="C84" s="63"/>
      <c r="D84" s="90" t="s">
        <v>3</v>
      </c>
      <c r="E84" s="68"/>
      <c r="F84" s="93">
        <f>SUM(F74:F83)</f>
        <v>0</v>
      </c>
      <c r="G84" s="98"/>
    </row>
    <row r="85" spans="2:7" x14ac:dyDescent="0.2">
      <c r="B85" s="72"/>
      <c r="D85" s="91" t="str">
        <f>Assumptions!B34</f>
        <v>Overhead and Profit</v>
      </c>
      <c r="E85" s="95">
        <f>Assumptions!C34</f>
        <v>0.22</v>
      </c>
      <c r="F85" s="67">
        <f>+MROUND(F84*E85,100)</f>
        <v>0</v>
      </c>
      <c r="G85" s="77"/>
    </row>
    <row r="86" spans="2:7" x14ac:dyDescent="0.2">
      <c r="B86" s="72"/>
      <c r="D86" s="91" t="s">
        <v>3</v>
      </c>
      <c r="E86" s="66"/>
      <c r="F86" s="92">
        <f>F85+F84</f>
        <v>0</v>
      </c>
      <c r="G86" s="77"/>
    </row>
    <row r="87" spans="2:7" x14ac:dyDescent="0.2">
      <c r="B87" s="72"/>
      <c r="D87" s="91" t="str">
        <f>Assumptions!B35</f>
        <v>Contingency</v>
      </c>
      <c r="E87" s="96">
        <f>Assumptions!C35</f>
        <v>0.3</v>
      </c>
      <c r="F87" s="64">
        <f>+MROUND((F86)*E87,100)</f>
        <v>0</v>
      </c>
      <c r="G87" s="77"/>
    </row>
    <row r="88" spans="2:7" x14ac:dyDescent="0.2">
      <c r="B88" s="72"/>
      <c r="D88" s="91" t="s">
        <v>36</v>
      </c>
      <c r="E88" s="66"/>
      <c r="F88" s="93">
        <f>SUM(F86:F87)</f>
        <v>0</v>
      </c>
      <c r="G88" s="77"/>
    </row>
    <row r="89" spans="2:7" x14ac:dyDescent="0.2">
      <c r="B89" s="72"/>
      <c r="D89" s="91" t="str">
        <f>Assumptions!B36</f>
        <v>Town Administration and Engineering</v>
      </c>
      <c r="E89" s="96"/>
      <c r="F89" s="64"/>
      <c r="G89" s="77"/>
    </row>
    <row r="90" spans="2:7" x14ac:dyDescent="0.2">
      <c r="B90" s="72"/>
      <c r="D90" s="91" t="str">
        <f>Assumptions!B37</f>
        <v>Town Administration</v>
      </c>
      <c r="E90" s="96">
        <f>Assumptions!C37</f>
        <v>0.03</v>
      </c>
      <c r="F90" s="64">
        <f>+MROUND($F$88*E90,100)</f>
        <v>0</v>
      </c>
      <c r="G90" s="77"/>
    </row>
    <row r="91" spans="2:7" x14ac:dyDescent="0.2">
      <c r="B91" s="72"/>
      <c r="D91" s="91" t="str">
        <f>Assumptions!B38</f>
        <v>Engineering - Planning/Consultation</v>
      </c>
      <c r="E91" s="96">
        <f>Assumptions!C38</f>
        <v>0</v>
      </c>
      <c r="F91" s="64">
        <f>+MROUND($F$88*E91,100)</f>
        <v>0</v>
      </c>
      <c r="G91" s="77"/>
    </row>
    <row r="92" spans="2:7" x14ac:dyDescent="0.2">
      <c r="B92" s="72"/>
      <c r="D92" s="91" t="str">
        <f>Assumptions!B39</f>
        <v>Engineering - Design</v>
      </c>
      <c r="E92" s="96">
        <f>Assumptions!C39</f>
        <v>0.1</v>
      </c>
      <c r="F92" s="64">
        <f>+MROUND($F$88*E92,100)</f>
        <v>0</v>
      </c>
      <c r="G92" s="77"/>
    </row>
    <row r="93" spans="2:7" x14ac:dyDescent="0.2">
      <c r="B93" s="72"/>
      <c r="D93" s="91" t="str">
        <f>Assumptions!B40</f>
        <v>Engineering - Construction</v>
      </c>
      <c r="E93" s="96">
        <f>Assumptions!C40</f>
        <v>0.15</v>
      </c>
      <c r="F93" s="64">
        <f>+MROUND($F$88*E93,100)</f>
        <v>0</v>
      </c>
      <c r="G93" s="77"/>
    </row>
    <row r="94" spans="2:7" x14ac:dyDescent="0.2">
      <c r="B94" s="32"/>
      <c r="C94" s="63"/>
      <c r="D94" s="94" t="s">
        <v>58</v>
      </c>
      <c r="E94" s="68"/>
      <c r="F94" s="124">
        <f>SUM(F88:F93)</f>
        <v>0</v>
      </c>
      <c r="G94" s="98" t="str">
        <f>G34</f>
        <v>Engineering News Record (ENR) = 10182 (Feb. 2016)</v>
      </c>
    </row>
    <row r="95" spans="2:7" ht="13.5" thickBot="1" x14ac:dyDescent="0.25">
      <c r="B95" s="73"/>
      <c r="C95" s="70"/>
      <c r="D95" s="70"/>
      <c r="E95" s="71"/>
      <c r="F95" s="71"/>
      <c r="G95" s="80"/>
    </row>
    <row r="98" spans="2:7" x14ac:dyDescent="0.2">
      <c r="B98" s="75" t="s">
        <v>7</v>
      </c>
      <c r="C98" s="75"/>
      <c r="D98" s="75"/>
      <c r="E98" s="75"/>
      <c r="F98" s="75"/>
      <c r="G98" s="74"/>
    </row>
    <row r="99" spans="2:7" x14ac:dyDescent="0.2">
      <c r="B99" s="75" t="s">
        <v>8</v>
      </c>
      <c r="C99" s="75"/>
      <c r="D99" s="75"/>
      <c r="E99" s="75"/>
      <c r="F99" s="75"/>
      <c r="G99" s="74"/>
    </row>
    <row r="100" spans="2:7" x14ac:dyDescent="0.2">
      <c r="B100" s="83" t="str">
        <f>Assumptions!B44</f>
        <v>Estimated Annual Monitoring Costs</v>
      </c>
      <c r="C100" s="83"/>
      <c r="D100" s="83"/>
      <c r="E100" s="83"/>
      <c r="F100" s="83"/>
      <c r="G100" s="84"/>
    </row>
    <row r="101" spans="2:7" x14ac:dyDescent="0.2">
      <c r="B101" s="83" t="str">
        <f>B5</f>
        <v>Effluent Disposal - Downtown Area (Overland Way - Parcel 1/1A)</v>
      </c>
      <c r="C101" s="83"/>
      <c r="D101" s="83"/>
      <c r="E101" s="83"/>
      <c r="F101" s="83"/>
      <c r="G101" s="84"/>
    </row>
    <row r="102" spans="2:7" ht="13.5" thickBot="1" x14ac:dyDescent="0.25"/>
    <row r="103" spans="2:7" ht="13.5" thickBot="1" x14ac:dyDescent="0.25">
      <c r="B103" s="61" t="s">
        <v>4</v>
      </c>
      <c r="C103" s="62" t="s">
        <v>5</v>
      </c>
      <c r="D103" s="62" t="s">
        <v>1</v>
      </c>
      <c r="E103" s="62" t="s">
        <v>0</v>
      </c>
      <c r="F103" s="78" t="s">
        <v>10</v>
      </c>
      <c r="G103" s="79" t="s">
        <v>9</v>
      </c>
    </row>
    <row r="104" spans="2:7" x14ac:dyDescent="0.2">
      <c r="B104" s="72"/>
      <c r="C104" s="63"/>
      <c r="D104" s="63"/>
      <c r="E104" s="68"/>
      <c r="F104" s="68"/>
      <c r="G104" s="76"/>
    </row>
    <row r="105" spans="2:7" x14ac:dyDescent="0.2">
      <c r="B105" s="50" t="s">
        <v>156</v>
      </c>
      <c r="C105" s="51">
        <v>12</v>
      </c>
      <c r="D105" s="55" t="s">
        <v>47</v>
      </c>
      <c r="E105" s="56">
        <v>65</v>
      </c>
      <c r="F105" s="54">
        <f>+MROUND(C105*E105,100)</f>
        <v>800</v>
      </c>
      <c r="G105" s="99"/>
    </row>
    <row r="106" spans="2:7" ht="38.25" x14ac:dyDescent="0.2">
      <c r="B106" s="50" t="s">
        <v>159</v>
      </c>
      <c r="C106" s="51">
        <v>24</v>
      </c>
      <c r="D106" s="55" t="s">
        <v>56</v>
      </c>
      <c r="E106" s="56">
        <v>200</v>
      </c>
      <c r="F106" s="54">
        <f>+MROUND(C106*E106,100)</f>
        <v>4800</v>
      </c>
      <c r="G106" s="99" t="s">
        <v>142</v>
      </c>
    </row>
    <row r="107" spans="2:7" x14ac:dyDescent="0.2">
      <c r="B107" s="50" t="s">
        <v>157</v>
      </c>
      <c r="C107" s="51">
        <v>4</v>
      </c>
      <c r="D107" s="55" t="s">
        <v>47</v>
      </c>
      <c r="E107" s="56">
        <v>65</v>
      </c>
      <c r="F107" s="54">
        <f t="shared" ref="F107" si="5">+MROUND(C107*E107,100)</f>
        <v>300</v>
      </c>
      <c r="G107" s="99"/>
    </row>
    <row r="108" spans="2:7" x14ac:dyDescent="0.2">
      <c r="B108" s="50" t="s">
        <v>158</v>
      </c>
      <c r="C108" s="51">
        <v>6</v>
      </c>
      <c r="D108" s="55" t="s">
        <v>56</v>
      </c>
      <c r="E108" s="56">
        <v>100</v>
      </c>
      <c r="F108" s="54">
        <f t="shared" ref="F108" si="6">+MROUND(C108*E108,100)</f>
        <v>600</v>
      </c>
      <c r="G108" s="99" t="s">
        <v>141</v>
      </c>
    </row>
    <row r="109" spans="2:7" x14ac:dyDescent="0.2">
      <c r="B109" s="50" t="s">
        <v>160</v>
      </c>
      <c r="C109" s="51">
        <v>40</v>
      </c>
      <c r="D109" s="55" t="s">
        <v>47</v>
      </c>
      <c r="E109" s="56">
        <v>65</v>
      </c>
      <c r="F109" s="54">
        <f t="shared" ref="F109:F114" si="7">+MROUND(C109*E109,100)</f>
        <v>2600</v>
      </c>
      <c r="G109" s="99" t="s">
        <v>11</v>
      </c>
    </row>
    <row r="110" spans="2:7" x14ac:dyDescent="0.2">
      <c r="B110" s="50"/>
      <c r="C110" s="51">
        <v>0</v>
      </c>
      <c r="D110" s="55"/>
      <c r="E110" s="56">
        <v>0</v>
      </c>
      <c r="F110" s="54">
        <f t="shared" si="7"/>
        <v>0</v>
      </c>
      <c r="G110" s="99" t="s">
        <v>11</v>
      </c>
    </row>
    <row r="111" spans="2:7" x14ac:dyDescent="0.2">
      <c r="B111" s="50" t="s">
        <v>11</v>
      </c>
      <c r="C111" s="51">
        <v>0</v>
      </c>
      <c r="D111" s="55"/>
      <c r="E111" s="56">
        <v>0</v>
      </c>
      <c r="F111" s="54">
        <f t="shared" si="7"/>
        <v>0</v>
      </c>
      <c r="G111" s="99" t="s">
        <v>11</v>
      </c>
    </row>
    <row r="112" spans="2:7" x14ac:dyDescent="0.2">
      <c r="B112" s="50" t="s">
        <v>11</v>
      </c>
      <c r="C112" s="51">
        <v>0</v>
      </c>
      <c r="D112" s="55"/>
      <c r="E112" s="56">
        <v>0</v>
      </c>
      <c r="F112" s="54">
        <f t="shared" si="7"/>
        <v>0</v>
      </c>
      <c r="G112" s="99" t="s">
        <v>11</v>
      </c>
    </row>
    <row r="113" spans="2:7" x14ac:dyDescent="0.2">
      <c r="B113" s="50" t="s">
        <v>11</v>
      </c>
      <c r="C113" s="51">
        <v>0</v>
      </c>
      <c r="D113" s="55"/>
      <c r="E113" s="56">
        <v>0</v>
      </c>
      <c r="F113" s="54">
        <f t="shared" si="7"/>
        <v>0</v>
      </c>
      <c r="G113" s="99" t="s">
        <v>11</v>
      </c>
    </row>
    <row r="114" spans="2:7" x14ac:dyDescent="0.2">
      <c r="B114" s="50" t="s">
        <v>11</v>
      </c>
      <c r="C114" s="51">
        <v>0</v>
      </c>
      <c r="D114" s="55"/>
      <c r="E114" s="56">
        <v>0</v>
      </c>
      <c r="F114" s="54">
        <f t="shared" si="7"/>
        <v>0</v>
      </c>
      <c r="G114" s="99" t="s">
        <v>11</v>
      </c>
    </row>
    <row r="115" spans="2:7" x14ac:dyDescent="0.2">
      <c r="B115" s="72"/>
      <c r="C115" s="63"/>
      <c r="D115" s="90" t="s">
        <v>3</v>
      </c>
      <c r="E115" s="68"/>
      <c r="F115" s="93">
        <f>SUM(F105:F114)</f>
        <v>9100</v>
      </c>
      <c r="G115" s="98"/>
    </row>
    <row r="116" spans="2:7" x14ac:dyDescent="0.2">
      <c r="B116" s="72"/>
      <c r="D116" s="91" t="str">
        <f>Assumptions!B45</f>
        <v>Contingency</v>
      </c>
      <c r="E116" s="95">
        <f>Assumptions!C45</f>
        <v>0.1</v>
      </c>
      <c r="F116" s="64">
        <f>+MROUND((F115)*E116,100)</f>
        <v>900</v>
      </c>
      <c r="G116" s="77"/>
    </row>
    <row r="117" spans="2:7" x14ac:dyDescent="0.2">
      <c r="B117" s="72"/>
      <c r="D117" s="91" t="s">
        <v>3</v>
      </c>
      <c r="E117" s="66"/>
      <c r="F117" s="93">
        <f>SUM(F115:F116)</f>
        <v>10000</v>
      </c>
      <c r="G117" s="77"/>
    </row>
    <row r="118" spans="2:7" x14ac:dyDescent="0.2">
      <c r="B118" s="72"/>
      <c r="D118" s="91" t="str">
        <f>Assumptions!B46</f>
        <v>Town Administration and Engineering</v>
      </c>
      <c r="E118" s="96"/>
      <c r="F118" s="64"/>
      <c r="G118" s="77"/>
    </row>
    <row r="119" spans="2:7" x14ac:dyDescent="0.2">
      <c r="B119" s="72"/>
      <c r="D119" s="91" t="str">
        <f>Assumptions!B47</f>
        <v>Town Administration</v>
      </c>
      <c r="E119" s="96">
        <f>Assumptions!C47</f>
        <v>0.05</v>
      </c>
      <c r="F119" s="64">
        <f>+MROUND($F$117*E119,100)</f>
        <v>500</v>
      </c>
      <c r="G119" s="77"/>
    </row>
    <row r="120" spans="2:7" x14ac:dyDescent="0.2">
      <c r="B120" s="72"/>
      <c r="D120" s="91" t="str">
        <f>Assumptions!B48</f>
        <v>Engineering - Planning/Consultation</v>
      </c>
      <c r="E120" s="96">
        <f>Assumptions!C48</f>
        <v>0.03</v>
      </c>
      <c r="F120" s="64">
        <f>+MROUND($F$117*E120,100)</f>
        <v>300</v>
      </c>
      <c r="G120" s="77"/>
    </row>
    <row r="121" spans="2:7" x14ac:dyDescent="0.2">
      <c r="B121" s="72"/>
      <c r="D121" s="91" t="str">
        <f>Assumptions!B49</f>
        <v>Engineering - Design</v>
      </c>
      <c r="E121" s="96">
        <f>Assumptions!C49</f>
        <v>0</v>
      </c>
      <c r="F121" s="64">
        <f>+MROUND($F$117*E121,100)</f>
        <v>0</v>
      </c>
      <c r="G121" s="77"/>
    </row>
    <row r="122" spans="2:7" x14ac:dyDescent="0.2">
      <c r="B122" s="72"/>
      <c r="D122" s="91" t="str">
        <f>Assumptions!B50</f>
        <v>Engineering - Construction</v>
      </c>
      <c r="E122" s="96">
        <f>Assumptions!C50</f>
        <v>0</v>
      </c>
      <c r="F122" s="64">
        <f>+MROUND($F$117*E122,100)</f>
        <v>0</v>
      </c>
      <c r="G122" s="77"/>
    </row>
    <row r="123" spans="2:7" x14ac:dyDescent="0.2">
      <c r="B123" s="32"/>
      <c r="C123" s="63"/>
      <c r="D123" s="94" t="s">
        <v>37</v>
      </c>
      <c r="F123" s="124">
        <f>SUM(F117:F122)</f>
        <v>10800</v>
      </c>
      <c r="G123" s="98" t="str">
        <f>G63</f>
        <v>Engineering News Record (ENR) = 10182 (Feb. 2016)</v>
      </c>
    </row>
    <row r="124" spans="2:7" ht="13.5" thickBot="1" x14ac:dyDescent="0.25">
      <c r="B124" s="73"/>
      <c r="C124" s="70"/>
      <c r="D124" s="70"/>
      <c r="E124" s="71"/>
      <c r="F124" s="71"/>
      <c r="G124" s="80"/>
    </row>
    <row r="129" spans="4:4" x14ac:dyDescent="0.2">
      <c r="D129" s="97"/>
    </row>
    <row r="130" spans="4:4" x14ac:dyDescent="0.2">
      <c r="D130" s="97"/>
    </row>
    <row r="131" spans="4:4" x14ac:dyDescent="0.2">
      <c r="D131" s="97"/>
    </row>
    <row r="132" spans="4:4" x14ac:dyDescent="0.2">
      <c r="D132" s="97"/>
    </row>
    <row r="133" spans="4:4" x14ac:dyDescent="0.2">
      <c r="D133" s="97"/>
    </row>
    <row r="134" spans="4:4" x14ac:dyDescent="0.2">
      <c r="D134" s="97"/>
    </row>
    <row r="135" spans="4:4" x14ac:dyDescent="0.2">
      <c r="D135" s="97"/>
    </row>
    <row r="136" spans="4:4" x14ac:dyDescent="0.2">
      <c r="D136" s="97"/>
    </row>
    <row r="137" spans="4:4" x14ac:dyDescent="0.2">
      <c r="D137" s="97"/>
    </row>
    <row r="138" spans="4:4" x14ac:dyDescent="0.2">
      <c r="D138" s="97"/>
    </row>
    <row r="139" spans="4:4" x14ac:dyDescent="0.2">
      <c r="D139" s="97"/>
    </row>
    <row r="140" spans="4:4" x14ac:dyDescent="0.2">
      <c r="D140" s="97"/>
    </row>
  </sheetData>
  <sheetProtection password="E40A" sheet="1" objects="1" scenarios="1"/>
  <printOptions horizontalCentered="1"/>
  <pageMargins left="0.7" right="0.7" top="0.75" bottom="0.75" header="0.3" footer="0.3"/>
  <pageSetup scale="58" fitToHeight="2" orientation="portrait" r:id="rId1"/>
  <headerFooter>
    <oddFooter>&amp;LAECOM Technical Services, Inc.
Pocasset, MA&amp;RPage &amp;P of &amp;N
Revised: March 17, 2016</oddFooter>
  </headerFooter>
  <rowBreaks count="1" manualBreakCount="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Units!$B$7:$B$22</xm:f>
          </x14:formula1>
          <xm:sqref>D75:D83 D10:D23 D45:D54 D105:D114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42</vt:i4>
      </vt:variant>
    </vt:vector>
  </HeadingPairs>
  <TitlesOfParts>
    <vt:vector size="81" baseType="lpstr">
      <vt:lpstr>Summary</vt:lpstr>
      <vt:lpstr>5-Year CIP</vt:lpstr>
      <vt:lpstr>Phasing - Data</vt:lpstr>
      <vt:lpstr>Phasing - Chart</vt:lpstr>
      <vt:lpstr>Phasing - Pie</vt:lpstr>
      <vt:lpstr>Collection - Downtown</vt:lpstr>
      <vt:lpstr>System Comparison - Downtown</vt:lpstr>
      <vt:lpstr>WWTF - Downtown</vt:lpstr>
      <vt:lpstr>Effluent Disposal - Downtown</vt:lpstr>
      <vt:lpstr>Collection - MP</vt:lpstr>
      <vt:lpstr>System Comparison - MP</vt:lpstr>
      <vt:lpstr>WWTF - MP</vt:lpstr>
      <vt:lpstr>Effluent Disposal - MP</vt:lpstr>
      <vt:lpstr>Aqua - D1</vt:lpstr>
      <vt:lpstr>Aqua - D2</vt:lpstr>
      <vt:lpstr>Aqua - D3</vt:lpstr>
      <vt:lpstr>Aqua - D4</vt:lpstr>
      <vt:lpstr>Aqua - S1</vt:lpstr>
      <vt:lpstr>Aqua - S2</vt:lpstr>
      <vt:lpstr>Aqua - S3</vt:lpstr>
      <vt:lpstr>FCW - D1</vt:lpstr>
      <vt:lpstr>FCW - D2</vt:lpstr>
      <vt:lpstr>FCW - S1</vt:lpstr>
      <vt:lpstr>FCW - S2</vt:lpstr>
      <vt:lpstr>FCW - S3</vt:lpstr>
      <vt:lpstr>FCW - S4</vt:lpstr>
      <vt:lpstr>FCW - S5</vt:lpstr>
      <vt:lpstr>PRB - D1</vt:lpstr>
      <vt:lpstr>PRB - D2</vt:lpstr>
      <vt:lpstr>PRB - S1</vt:lpstr>
      <vt:lpstr>PRB - S2</vt:lpstr>
      <vt:lpstr>PRB - S3</vt:lpstr>
      <vt:lpstr>PRB - S4</vt:lpstr>
      <vt:lpstr>PRB - S5</vt:lpstr>
      <vt:lpstr>Septic Impact Fee</vt:lpstr>
      <vt:lpstr>Septage Proforma</vt:lpstr>
      <vt:lpstr>Septage Schematics</vt:lpstr>
      <vt:lpstr>Assumptions</vt:lpstr>
      <vt:lpstr>Units</vt:lpstr>
      <vt:lpstr>InflationRate</vt:lpstr>
      <vt:lpstr>InterestRate</vt:lpstr>
      <vt:lpstr>'5-Year CIP'!Print_Area</vt:lpstr>
      <vt:lpstr>'Aqua - D1'!Print_Area</vt:lpstr>
      <vt:lpstr>'Aqua - D2'!Print_Area</vt:lpstr>
      <vt:lpstr>'Aqua - D3'!Print_Area</vt:lpstr>
      <vt:lpstr>'Aqua - D4'!Print_Area</vt:lpstr>
      <vt:lpstr>'Aqua - S1'!Print_Area</vt:lpstr>
      <vt:lpstr>'Aqua - S2'!Print_Area</vt:lpstr>
      <vt:lpstr>'Aqua - S3'!Print_Area</vt:lpstr>
      <vt:lpstr>Assumptions!Print_Area</vt:lpstr>
      <vt:lpstr>'Collection - Downtown'!Print_Area</vt:lpstr>
      <vt:lpstr>'Collection - MP'!Print_Area</vt:lpstr>
      <vt:lpstr>'Effluent Disposal - Downtown'!Print_Area</vt:lpstr>
      <vt:lpstr>'Effluent Disposal - MP'!Print_Area</vt:lpstr>
      <vt:lpstr>'FCW - D1'!Print_Area</vt:lpstr>
      <vt:lpstr>'FCW - D2'!Print_Area</vt:lpstr>
      <vt:lpstr>'FCW - S1'!Print_Area</vt:lpstr>
      <vt:lpstr>'FCW - S2'!Print_Area</vt:lpstr>
      <vt:lpstr>'FCW - S3'!Print_Area</vt:lpstr>
      <vt:lpstr>'FCW - S4'!Print_Area</vt:lpstr>
      <vt:lpstr>'FCW - S5'!Print_Area</vt:lpstr>
      <vt:lpstr>'Phasing - Chart'!Print_Area</vt:lpstr>
      <vt:lpstr>'Phasing - Data'!Print_Area</vt:lpstr>
      <vt:lpstr>'Phasing - Pie'!Print_Area</vt:lpstr>
      <vt:lpstr>'PRB - D1'!Print_Area</vt:lpstr>
      <vt:lpstr>'PRB - D2'!Print_Area</vt:lpstr>
      <vt:lpstr>'PRB - S1'!Print_Area</vt:lpstr>
      <vt:lpstr>'PRB - S2'!Print_Area</vt:lpstr>
      <vt:lpstr>'PRB - S3'!Print_Area</vt:lpstr>
      <vt:lpstr>'PRB - S4'!Print_Area</vt:lpstr>
      <vt:lpstr>'PRB - S5'!Print_Area</vt:lpstr>
      <vt:lpstr>'Septage Proforma'!Print_Area</vt:lpstr>
      <vt:lpstr>'Septage Schematics'!Print_Area</vt:lpstr>
      <vt:lpstr>'Septic Impact Fee'!Print_Area</vt:lpstr>
      <vt:lpstr>Summary!Print_Area</vt:lpstr>
      <vt:lpstr>'System Comparison - Downtown'!Print_Area</vt:lpstr>
      <vt:lpstr>'System Comparison - MP'!Print_Area</vt:lpstr>
      <vt:lpstr>Units!Print_Area</vt:lpstr>
      <vt:lpstr>'WWTF - Downtown'!Print_Area</vt:lpstr>
      <vt:lpstr>'WWTF - MP'!Print_Area</vt:lpstr>
      <vt:lpstr>'Phasing - Data'!Print_Titles</vt:lpstr>
    </vt:vector>
  </TitlesOfParts>
  <Company>AECOM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Walsh, Jami</dc:creator>
  <cp:lastModifiedBy>John Kelly</cp:lastModifiedBy>
  <cp:lastPrinted>2016-03-21T20:12:57Z</cp:lastPrinted>
  <dcterms:created xsi:type="dcterms:W3CDTF">2015-11-10T17:35:15Z</dcterms:created>
  <dcterms:modified xsi:type="dcterms:W3CDTF">2016-03-21T20:16:12Z</dcterms:modified>
</cp:coreProperties>
</file>